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250" activeTab="0"/>
  </bookViews>
  <sheets>
    <sheet name="Home" sheetId="1" r:id="rId1"/>
    <sheet name="Bloomington MSA" sheetId="2" r:id="rId2"/>
    <sheet name="Cincinnati MSA" sheetId="3" r:id="rId3"/>
    <sheet name="Elkhart MSA" sheetId="4" r:id="rId4"/>
    <sheet name="Evansville MSA" sheetId="5" r:id="rId5"/>
    <sheet name="Fort Wayne MSA" sheetId="6" r:id="rId6"/>
    <sheet name="Gary MSA" sheetId="7" r:id="rId7"/>
    <sheet name="Indianapolis MSA" sheetId="8" r:id="rId8"/>
    <sheet name="Kokomo MSA" sheetId="9" r:id="rId9"/>
    <sheet name="Lafayette MSA" sheetId="10" r:id="rId10"/>
    <sheet name="Louisville MSA" sheetId="11" r:id="rId11"/>
    <sheet name="Muncie MSA" sheetId="12" r:id="rId12"/>
    <sheet name="South Bend MSA" sheetId="13" r:id="rId13"/>
    <sheet name="Terre Haute MSA" sheetId="14" r:id="rId14"/>
  </sheets>
  <definedNames/>
  <calcPr fullCalcOnLoad="1"/>
</workbook>
</file>

<file path=xl/sharedStrings.xml><?xml version="1.0" encoding="utf-8"?>
<sst xmlns="http://schemas.openxmlformats.org/spreadsheetml/2006/main" count="563" uniqueCount="71">
  <si>
    <t>Bloomington, IN MSA  (County: Monroe)</t>
  </si>
  <si>
    <t>Minimum Cost of Family Support</t>
  </si>
  <si>
    <t>Budget Item ($)</t>
  </si>
  <si>
    <t xml:space="preserve">Family of 2 (2 earners): </t>
  </si>
  <si>
    <t>Family of 3 (1 earner):</t>
  </si>
  <si>
    <t>Family of 4 (2 earners):</t>
  </si>
  <si>
    <t>Family of 4 (1 earner):</t>
  </si>
  <si>
    <t>Couple 20-50 years old</t>
  </si>
  <si>
    <t>Head of Household 20-50 years old</t>
  </si>
  <si>
    <t xml:space="preserve">No Children </t>
  </si>
  <si>
    <t>2 Children ages 2 and 3-5 years</t>
  </si>
  <si>
    <t>2 Children ages 6-8 and 9-11 years</t>
  </si>
  <si>
    <t>Food</t>
  </si>
  <si>
    <t>Housing and Utilities</t>
  </si>
  <si>
    <t>Health Care</t>
  </si>
  <si>
    <t>Transportation</t>
  </si>
  <si>
    <t>Child Care</t>
  </si>
  <si>
    <t>Other</t>
  </si>
  <si>
    <t>Monthly Budget Total</t>
  </si>
  <si>
    <t xml:space="preserve">Annual Budget Total </t>
  </si>
  <si>
    <t>Overall Tax Liability*</t>
  </si>
  <si>
    <t>Annual Income before Taxes</t>
  </si>
  <si>
    <t>Monthly Income before Taxes</t>
  </si>
  <si>
    <t>Hourly Wage**</t>
  </si>
  <si>
    <t>Federal Poverty Threshold (2004)</t>
  </si>
  <si>
    <t>Percent of Federal Poverty Threshold</t>
  </si>
  <si>
    <t>*Including federal, state and local income taxes, federal and state earned income tax credit, federal credit for child care expenses, child tax credit, additional child tax credit and payroll taxes</t>
  </si>
  <si>
    <t>**Each earner works an eight hour work day, five day work week and 50 week work year.</t>
  </si>
  <si>
    <t>Cincinnati, OH-KY-IN PMSA  (IN County: Dearborn)</t>
  </si>
  <si>
    <t>Louisville, KY-IN MSA  (IN Counties: Clark, Floyd, Harrison, Scott)</t>
  </si>
  <si>
    <t>Elkhart-Goshen, IN MSA  (County: Elkhart)</t>
  </si>
  <si>
    <t>Evansville-Henderson, IN-KY MSA  (IN Counties: Posey, Vanderburgh, Warrick)</t>
  </si>
  <si>
    <t>Fort Wayne, IN MSA  (Counties: Adams, Allen, DeKalb, Huntington, Wells, Whitley)</t>
  </si>
  <si>
    <t>Gary, IN PMSA  (Counties: Lake, Porter)</t>
  </si>
  <si>
    <t>Indianapolis, IN MSA  (Counties: Boone, Hamilton, Hancock, Hendricks, Johnson, Madison, Marion, Morgan, Shelby)</t>
  </si>
  <si>
    <t>Kokomo, IN MSA  (Counties: Howard, Tipton)</t>
  </si>
  <si>
    <t>Lafayette, IN MSA  (Counties: Clinton, Tippecanoe)</t>
  </si>
  <si>
    <t>Muncie, IN MSA  (County: Delaware)</t>
  </si>
  <si>
    <t>South Bend, IN MSA  (County: St. Joseph)</t>
  </si>
  <si>
    <t>Terre Haute, IN MSA  (Counties: Clay, Vermillion, Vigo)</t>
  </si>
  <si>
    <t>MSA</t>
  </si>
  <si>
    <t>Indiana Counties</t>
  </si>
  <si>
    <t>Indianapolis, IN</t>
  </si>
  <si>
    <t>Boone, Hamilton, Hancock, Hendricks, Johnson, Madison, Marion, Morgan, Shelby</t>
  </si>
  <si>
    <t>Fort Wayne, IN</t>
  </si>
  <si>
    <t>Adams, Allen, DeKalb, Huntington, Wells, Whitley</t>
  </si>
  <si>
    <t>Louisville, KY-IN</t>
  </si>
  <si>
    <t>Clark, Floyd, Harrison, Scott</t>
  </si>
  <si>
    <t>Evansville-Henderson, IN-KY</t>
  </si>
  <si>
    <t>Posey, Vanderburgh, Warrick</t>
  </si>
  <si>
    <t>Terre Haute, IN</t>
  </si>
  <si>
    <t>Clay, Vermillion, Vigo</t>
  </si>
  <si>
    <t>Gary, IN</t>
  </si>
  <si>
    <t>Lake, Porter</t>
  </si>
  <si>
    <t>Kokomo, IN</t>
  </si>
  <si>
    <t>Howard, Tipton</t>
  </si>
  <si>
    <t>Lafayette, IN</t>
  </si>
  <si>
    <t>Clinton, Tippecanoe</t>
  </si>
  <si>
    <t>Bloomington, IN</t>
  </si>
  <si>
    <t>Monroe</t>
  </si>
  <si>
    <t>Cincinnati, OH-KY-IN</t>
  </si>
  <si>
    <t>Dearborn</t>
  </si>
  <si>
    <t>Elkhart-Goshen, IN</t>
  </si>
  <si>
    <t>Elkhart</t>
  </si>
  <si>
    <t>Muncie, IN</t>
  </si>
  <si>
    <t>Delaware</t>
  </si>
  <si>
    <t>South Bend, IN</t>
  </si>
  <si>
    <t>St. Joseph</t>
  </si>
  <si>
    <t xml:space="preserve">Statistical Area (MSA). </t>
  </si>
  <si>
    <t>Click on any of the following links to view the minimum cost to support a family in the corresponding Metropolitan</t>
  </si>
  <si>
    <t>Return Home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</si>
</sst>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6"/>
      <color indexed="16"/>
      <name val="Arial"/>
      <family val="2"/>
    </font>
    <font>
      <sz val="9"/>
      <color indexed="16"/>
      <name val="Arial"/>
      <family val="2"/>
    </font>
    <font>
      <u val="single"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0" fillId="0" borderId="0" xfId="0" applyFont="1" applyAlignment="1">
      <alignment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3" fontId="6" fillId="0" borderId="4" xfId="0" applyNumberFormat="1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4" fontId="6" fillId="0" borderId="4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6" fillId="0" borderId="6" xfId="0" applyNumberFormat="1" applyFont="1" applyBorder="1" applyAlignment="1">
      <alignment/>
    </xf>
    <xf numFmtId="9" fontId="6" fillId="0" borderId="6" xfId="21" applyFont="1" applyBorder="1" applyAlignment="1">
      <alignment vertical="top" wrapText="1"/>
    </xf>
    <xf numFmtId="3" fontId="6" fillId="0" borderId="6" xfId="0" applyNumberFormat="1" applyFont="1" applyFill="1" applyBorder="1" applyAlignment="1">
      <alignment/>
    </xf>
    <xf numFmtId="9" fontId="6" fillId="0" borderId="6" xfId="21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9" fontId="6" fillId="0" borderId="6" xfId="2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0" fillId="0" borderId="6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5" fillId="0" borderId="4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2" xfId="0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3" fontId="6" fillId="0" borderId="6" xfId="0" applyNumberFormat="1" applyFont="1" applyFill="1" applyBorder="1" applyAlignment="1">
      <alignment/>
    </xf>
    <xf numFmtId="9" fontId="6" fillId="0" borderId="6" xfId="21" applyFont="1" applyFill="1" applyBorder="1" applyAlignment="1">
      <alignment vertical="top"/>
    </xf>
    <xf numFmtId="0" fontId="11" fillId="0" borderId="0" xfId="20" applyFont="1" applyAlignment="1">
      <alignment/>
    </xf>
    <xf numFmtId="0" fontId="11" fillId="0" borderId="0" xfId="20" applyFont="1" applyBorder="1" applyAlignment="1">
      <alignment vertical="top" wrapText="1"/>
    </xf>
    <xf numFmtId="0" fontId="0" fillId="0" borderId="0" xfId="0" applyNumberFormat="1" applyBorder="1" applyAlignment="1">
      <alignment/>
    </xf>
    <xf numFmtId="0" fontId="11" fillId="0" borderId="0" xfId="20" applyFont="1" applyAlignment="1">
      <alignment/>
    </xf>
    <xf numFmtId="0" fontId="11" fillId="0" borderId="0" xfId="2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</xdr:row>
      <xdr:rowOff>152400</xdr:rowOff>
    </xdr:from>
    <xdr:to>
      <xdr:col>10</xdr:col>
      <xdr:colOff>190500</xdr:colOff>
      <xdr:row>38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14325"/>
          <a:ext cx="3876675" cy="590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1.8515625" style="1" customWidth="1"/>
    <col min="3" max="3" width="62.8515625" style="1" customWidth="1"/>
    <col min="4" max="16384" width="9.140625" style="1" customWidth="1"/>
  </cols>
  <sheetData>
    <row r="1" spans="2:3" ht="12.75">
      <c r="B1" s="23"/>
      <c r="C1" s="23"/>
    </row>
    <row r="2" spans="2:3" ht="12.75">
      <c r="B2" s="23"/>
      <c r="C2" s="23"/>
    </row>
    <row r="3" spans="2:3" ht="12.75">
      <c r="B3" s="23" t="s">
        <v>69</v>
      </c>
      <c r="C3" s="23"/>
    </row>
    <row r="4" spans="2:3" ht="12.75">
      <c r="B4" s="23" t="s">
        <v>68</v>
      </c>
      <c r="C4" s="23"/>
    </row>
    <row r="5" spans="2:3" ht="12.75">
      <c r="B5" s="23"/>
      <c r="C5" s="23"/>
    </row>
    <row r="6" spans="2:3" ht="12.75">
      <c r="B6" s="23"/>
      <c r="C6" s="23"/>
    </row>
    <row r="7" spans="2:3" ht="12.75">
      <c r="B7" s="23"/>
      <c r="C7" s="23"/>
    </row>
    <row r="8" spans="2:3" ht="12.75">
      <c r="B8" s="23"/>
      <c r="C8" s="23"/>
    </row>
    <row r="9" spans="2:3" ht="12.75">
      <c r="B9" s="2" t="s">
        <v>40</v>
      </c>
      <c r="C9" s="2" t="s">
        <v>41</v>
      </c>
    </row>
    <row r="10" spans="2:3" ht="12.75">
      <c r="B10" s="62" t="s">
        <v>42</v>
      </c>
      <c r="C10" s="62" t="s">
        <v>43</v>
      </c>
    </row>
    <row r="11" spans="2:3" ht="12.75">
      <c r="B11" s="63" t="s">
        <v>44</v>
      </c>
      <c r="C11" s="63" t="s">
        <v>45</v>
      </c>
    </row>
    <row r="12" spans="2:3" ht="12.75">
      <c r="B12" s="63" t="s">
        <v>46</v>
      </c>
      <c r="C12" s="63" t="s">
        <v>47</v>
      </c>
    </row>
    <row r="13" spans="2:3" ht="12.75">
      <c r="B13" s="63" t="s">
        <v>48</v>
      </c>
      <c r="C13" s="63" t="s">
        <v>49</v>
      </c>
    </row>
    <row r="14" spans="2:3" ht="12.75">
      <c r="B14" s="63" t="s">
        <v>50</v>
      </c>
      <c r="C14" s="63" t="s">
        <v>51</v>
      </c>
    </row>
    <row r="15" spans="2:3" ht="12.75">
      <c r="B15" s="63" t="s">
        <v>52</v>
      </c>
      <c r="C15" s="63" t="s">
        <v>53</v>
      </c>
    </row>
    <row r="16" spans="2:3" ht="12.75">
      <c r="B16" s="63" t="s">
        <v>54</v>
      </c>
      <c r="C16" s="63" t="s">
        <v>55</v>
      </c>
    </row>
    <row r="17" spans="2:3" ht="12.75">
      <c r="B17" s="63" t="s">
        <v>56</v>
      </c>
      <c r="C17" s="63" t="s">
        <v>57</v>
      </c>
    </row>
    <row r="18" spans="2:3" ht="12.75">
      <c r="B18" s="63" t="s">
        <v>58</v>
      </c>
      <c r="C18" s="63" t="s">
        <v>59</v>
      </c>
    </row>
    <row r="19" spans="2:3" ht="12.75">
      <c r="B19" s="63" t="s">
        <v>60</v>
      </c>
      <c r="C19" s="63" t="s">
        <v>61</v>
      </c>
    </row>
    <row r="20" spans="2:3" ht="12.75">
      <c r="B20" s="63" t="s">
        <v>62</v>
      </c>
      <c r="C20" s="63" t="s">
        <v>63</v>
      </c>
    </row>
    <row r="21" spans="2:3" ht="12.75">
      <c r="B21" s="63" t="s">
        <v>64</v>
      </c>
      <c r="C21" s="63" t="s">
        <v>65</v>
      </c>
    </row>
    <row r="22" spans="2:3" ht="12.75">
      <c r="B22" s="63" t="s">
        <v>66</v>
      </c>
      <c r="C22" s="63" t="s">
        <v>67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>
      <c r="C38" s="64"/>
    </row>
  </sheetData>
  <hyperlinks>
    <hyperlink ref="B10" location="'Indianapolis MSA'!A1" display="Indianapolis, IN"/>
    <hyperlink ref="B11" location="'Fort Wayne MSA'!A1" display="Fort Wayne, IN"/>
    <hyperlink ref="B12" location="'Louisville MSA'!A1" display="Louisville, KY-IN"/>
    <hyperlink ref="B13" location="'Evansville MSA'!A1" display="Evansville-Henderson, IN-KY"/>
    <hyperlink ref="B14" location="'Terre Haute MSA'!A1" display="Terre Haute, IN"/>
    <hyperlink ref="B15" location="'Gary MSA'!A1" display="Gary, IN"/>
    <hyperlink ref="B16" location="'Kokomo MSA'!A1" display="Kokomo, IN"/>
    <hyperlink ref="B17" location="'Lafayette MSA'!A1" display="Lafayette, IN"/>
    <hyperlink ref="B18" location="'Bloomington MSA'!A1" display="Bloomington, IN"/>
    <hyperlink ref="B19" location="'Cincinnati MSA'!A1" display="Cincinnati, OH-KY-IN"/>
    <hyperlink ref="B20" location="'Elkhart MSA'!A1" display="Elkhart-Goshen, IN"/>
    <hyperlink ref="B21" location="'Muncie MSA'!A1" display="Muncie, IN"/>
    <hyperlink ref="B22" location="'South Bend MSA'!A1" display="South Bend, IN"/>
    <hyperlink ref="B10:C10" location="'Indianapolis MSA'!A1" display="Indianapolis, IN"/>
    <hyperlink ref="B11:C11" location="'Fort Wayne MSA'!A1" display="Fort Wayne, IN"/>
    <hyperlink ref="B12:C12" location="'Louisville MSA'!A1" display="Louisville, KY-IN"/>
    <hyperlink ref="B13:C13" location="'Evansville MSA'!A1" display="Evansville-Henderson, IN-KY"/>
    <hyperlink ref="B14:C14" location="'Terre Haute MSA'!A1" display="Terre Haute, IN"/>
    <hyperlink ref="B15:C15" location="'Gary MSA'!A1" display="Gary, IN"/>
    <hyperlink ref="B16:C16" location="'Kokomo MSA'!A1" display="Kokomo, IN"/>
    <hyperlink ref="B17:C17" location="'Lafayette MSA'!A1" display="Lafayette, IN"/>
    <hyperlink ref="B18:C18" location="'Bloomington MSA'!A1" display="Bloomington, IN"/>
    <hyperlink ref="B19:C19" location="'Cincinnati MSA'!A1" display="Cincinnati, OH-KY-IN"/>
    <hyperlink ref="B20:C20" location="'Elkhart MSA'!A1" display="Elkhart-Goshen, IN"/>
    <hyperlink ref="B21:C21" location="'Muncie MSA'!A1" display="Muncie, IN"/>
    <hyperlink ref="B22:C22" location="'South Bend MSA'!A1" display="South Bend, IN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31.140625" style="54" customWidth="1"/>
    <col min="2" max="2" width="20.140625" style="54" bestFit="1" customWidth="1"/>
    <col min="3" max="4" width="29.7109375" style="54" bestFit="1" customWidth="1"/>
    <col min="5" max="5" width="27.00390625" style="54" bestFit="1" customWidth="1"/>
    <col min="6" max="6" width="29.7109375" style="54" bestFit="1" customWidth="1"/>
    <col min="7" max="7" width="27.00390625" style="54" bestFit="1" customWidth="1"/>
    <col min="8" max="8" width="29.7109375" style="54" bestFit="1" customWidth="1"/>
    <col min="9" max="16384" width="9.140625" style="54" customWidth="1"/>
  </cols>
  <sheetData>
    <row r="1" ht="20.25">
      <c r="A1" s="53" t="s">
        <v>36</v>
      </c>
    </row>
    <row r="2" ht="12">
      <c r="A2" s="55" t="s">
        <v>1</v>
      </c>
    </row>
    <row r="3" ht="12">
      <c r="A3" s="55"/>
    </row>
    <row r="4" spans="1:8" s="56" customFormat="1" ht="12">
      <c r="A4" s="77" t="s">
        <v>2</v>
      </c>
      <c r="B4" s="46" t="s">
        <v>3</v>
      </c>
      <c r="C4" s="46" t="s">
        <v>4</v>
      </c>
      <c r="D4" s="46" t="s">
        <v>4</v>
      </c>
      <c r="E4" s="46" t="s">
        <v>5</v>
      </c>
      <c r="F4" s="46" t="s">
        <v>5</v>
      </c>
      <c r="G4" s="46" t="s">
        <v>6</v>
      </c>
      <c r="H4" s="46" t="s">
        <v>6</v>
      </c>
    </row>
    <row r="5" spans="1:8" s="56" customFormat="1" ht="12">
      <c r="A5" s="78"/>
      <c r="B5" s="48" t="s">
        <v>7</v>
      </c>
      <c r="C5" s="48" t="s">
        <v>8</v>
      </c>
      <c r="D5" s="48" t="s">
        <v>8</v>
      </c>
      <c r="E5" s="48" t="s">
        <v>7</v>
      </c>
      <c r="F5" s="48" t="s">
        <v>7</v>
      </c>
      <c r="G5" s="48" t="s">
        <v>7</v>
      </c>
      <c r="H5" s="48" t="s">
        <v>7</v>
      </c>
    </row>
    <row r="6" spans="1:8" s="56" customFormat="1" ht="12">
      <c r="A6" s="79"/>
      <c r="B6" s="49" t="s">
        <v>9</v>
      </c>
      <c r="C6" s="49" t="s">
        <v>10</v>
      </c>
      <c r="D6" s="49" t="s">
        <v>11</v>
      </c>
      <c r="E6" s="49" t="s">
        <v>10</v>
      </c>
      <c r="F6" s="49" t="s">
        <v>11</v>
      </c>
      <c r="G6" s="49" t="s">
        <v>10</v>
      </c>
      <c r="H6" s="49" t="s">
        <v>11</v>
      </c>
    </row>
    <row r="7" spans="1:8" ht="12">
      <c r="A7" s="51" t="s">
        <v>12</v>
      </c>
      <c r="B7" s="52">
        <f>382.9*(1-0.0775)</f>
        <v>353.22524999999996</v>
      </c>
      <c r="C7" s="52">
        <f>(185.7+95.8+105.2)*(1-0.0775)</f>
        <v>356.73075</v>
      </c>
      <c r="D7" s="52">
        <f>(185.7+141.6+159.1)*(1-0.0775)</f>
        <v>448.70399999999995</v>
      </c>
      <c r="E7" s="52">
        <f>549.1*(1-0.0775)</f>
        <v>506.54475</v>
      </c>
      <c r="F7" s="52">
        <f>648.8*(1-0.0775)</f>
        <v>598.5179999999999</v>
      </c>
      <c r="G7" s="52">
        <f>549.1*(1-0.0775)</f>
        <v>506.54475</v>
      </c>
      <c r="H7" s="52">
        <f>648.8*(1-0.0775)</f>
        <v>598.5179999999999</v>
      </c>
    </row>
    <row r="8" spans="1:8" ht="12">
      <c r="A8" s="51" t="s">
        <v>13</v>
      </c>
      <c r="B8" s="52">
        <v>536</v>
      </c>
      <c r="C8" s="52">
        <v>661</v>
      </c>
      <c r="D8" s="52">
        <v>661</v>
      </c>
      <c r="E8" s="52">
        <v>661</v>
      </c>
      <c r="F8" s="52">
        <v>661</v>
      </c>
      <c r="G8" s="52">
        <v>661</v>
      </c>
      <c r="H8" s="52">
        <v>661</v>
      </c>
    </row>
    <row r="9" spans="1:8" ht="12">
      <c r="A9" s="51" t="s">
        <v>14</v>
      </c>
      <c r="B9" s="52">
        <f>103+(80/12)</f>
        <v>109.66666666666667</v>
      </c>
      <c r="C9" s="52">
        <f>127+(180/12)</f>
        <v>142</v>
      </c>
      <c r="D9" s="52">
        <f>145+(180/12)</f>
        <v>160</v>
      </c>
      <c r="E9" s="52">
        <f>167+(220/12)</f>
        <v>185.33333333333334</v>
      </c>
      <c r="F9" s="52">
        <f>190+(220/12)</f>
        <v>208.33333333333334</v>
      </c>
      <c r="G9" s="52">
        <f>167+(220/12)</f>
        <v>185.33333333333334</v>
      </c>
      <c r="H9" s="52">
        <f>190+(220/12)</f>
        <v>208.33333333333334</v>
      </c>
    </row>
    <row r="10" spans="1:8" ht="12">
      <c r="A10" s="51" t="s">
        <v>15</v>
      </c>
      <c r="B10" s="52">
        <f>250+115+42</f>
        <v>407</v>
      </c>
      <c r="C10" s="52">
        <f>250+105+49</f>
        <v>404</v>
      </c>
      <c r="D10" s="52">
        <f>250+115+45</f>
        <v>410</v>
      </c>
      <c r="E10" s="52">
        <f>250+125+42</f>
        <v>417</v>
      </c>
      <c r="F10" s="52">
        <f>250+134+41</f>
        <v>425</v>
      </c>
      <c r="G10" s="52">
        <f>250+125+42</f>
        <v>417</v>
      </c>
      <c r="H10" s="52">
        <f>250+134+41</f>
        <v>425</v>
      </c>
    </row>
    <row r="11" spans="1:8" ht="12">
      <c r="A11" s="51" t="s">
        <v>16</v>
      </c>
      <c r="B11" s="52">
        <v>0</v>
      </c>
      <c r="C11" s="52">
        <f>87.5*1.9*4</f>
        <v>665</v>
      </c>
      <c r="D11" s="52">
        <f>69*1.9*4</f>
        <v>524.4</v>
      </c>
      <c r="E11" s="52">
        <f>87.5*1.9*4</f>
        <v>665</v>
      </c>
      <c r="F11" s="52">
        <f>69*1.9*4</f>
        <v>524.4</v>
      </c>
      <c r="G11" s="52">
        <v>0</v>
      </c>
      <c r="H11" s="52">
        <v>0</v>
      </c>
    </row>
    <row r="12" spans="1:8" ht="12">
      <c r="A12" s="51" t="s">
        <v>17</v>
      </c>
      <c r="B12" s="52">
        <f>65+47+(37+33+14+39)*1.06</f>
        <v>242.38</v>
      </c>
      <c r="C12" s="52">
        <f>65+47+(37+33+39+4+6)*1.06</f>
        <v>238.14</v>
      </c>
      <c r="D12" s="52">
        <f>65+47+(37+33+39+4+6)*1.06</f>
        <v>238.14</v>
      </c>
      <c r="E12" s="52">
        <f>65+47+(37+33+14+39+4+6)*1.06</f>
        <v>252.98000000000002</v>
      </c>
      <c r="F12" s="52">
        <f>65+47+(37+33+14+39+4+6)*1.06</f>
        <v>252.98000000000002</v>
      </c>
      <c r="G12" s="52">
        <f>65+47+(37+33+14+39+4+6)*1.06</f>
        <v>252.98000000000002</v>
      </c>
      <c r="H12" s="52">
        <f>65+47+(37+33+14+39+4+6)*1.06</f>
        <v>252.98000000000002</v>
      </c>
    </row>
    <row r="13" spans="1:8" ht="12">
      <c r="A13" s="51"/>
      <c r="B13" s="57"/>
      <c r="C13" s="57"/>
      <c r="D13" s="57"/>
      <c r="E13" s="57"/>
      <c r="F13" s="57"/>
      <c r="G13" s="57"/>
      <c r="H13" s="57"/>
    </row>
    <row r="14" spans="1:8" ht="12">
      <c r="A14" s="51" t="s">
        <v>18</v>
      </c>
      <c r="B14" s="52">
        <f aca="true" t="shared" si="0" ref="B14:H14">SUM(B7:B12)</f>
        <v>1648.2719166666666</v>
      </c>
      <c r="C14" s="52">
        <f t="shared" si="0"/>
        <v>2466.8707499999996</v>
      </c>
      <c r="D14" s="52">
        <f t="shared" si="0"/>
        <v>2442.2439999999997</v>
      </c>
      <c r="E14" s="52">
        <f t="shared" si="0"/>
        <v>2687.858083333333</v>
      </c>
      <c r="F14" s="52">
        <f t="shared" si="0"/>
        <v>2670.231333333333</v>
      </c>
      <c r="G14" s="52">
        <f t="shared" si="0"/>
        <v>2022.8580833333333</v>
      </c>
      <c r="H14" s="52">
        <f t="shared" si="0"/>
        <v>2145.8313333333335</v>
      </c>
    </row>
    <row r="15" spans="1:8" ht="12">
      <c r="A15" s="51" t="s">
        <v>19</v>
      </c>
      <c r="B15" s="52">
        <f aca="true" t="shared" si="1" ref="B15:H15">B14*12</f>
        <v>19779.263</v>
      </c>
      <c r="C15" s="52">
        <f t="shared" si="1"/>
        <v>29602.448999999993</v>
      </c>
      <c r="D15" s="52">
        <f t="shared" si="1"/>
        <v>29306.927999999996</v>
      </c>
      <c r="E15" s="52">
        <f t="shared" si="1"/>
        <v>32254.297</v>
      </c>
      <c r="F15" s="52">
        <f t="shared" si="1"/>
        <v>32042.775999999998</v>
      </c>
      <c r="G15" s="52">
        <f t="shared" si="1"/>
        <v>24274.297</v>
      </c>
      <c r="H15" s="52">
        <f t="shared" si="1"/>
        <v>25749.976000000002</v>
      </c>
    </row>
    <row r="16" spans="1:8" ht="12">
      <c r="A16" s="51" t="s">
        <v>20</v>
      </c>
      <c r="B16" s="52">
        <v>3346.2067500000003</v>
      </c>
      <c r="C16" s="52">
        <v>225.82637499999987</v>
      </c>
      <c r="D16" s="52">
        <v>70.99524999999994</v>
      </c>
      <c r="E16" s="52">
        <v>1217.2435000000003</v>
      </c>
      <c r="F16" s="52">
        <v>1111.6706250000002</v>
      </c>
      <c r="G16" s="52">
        <v>-2468.96325</v>
      </c>
      <c r="H16" s="52">
        <v>-1964.0007499999997</v>
      </c>
    </row>
    <row r="17" spans="1:8" ht="12">
      <c r="A17" s="51" t="s">
        <v>21</v>
      </c>
      <c r="B17" s="52">
        <v>23126</v>
      </c>
      <c r="C17" s="52">
        <v>29829</v>
      </c>
      <c r="D17" s="52">
        <v>29378</v>
      </c>
      <c r="E17" s="52">
        <v>33472</v>
      </c>
      <c r="F17" s="52">
        <v>33155</v>
      </c>
      <c r="G17" s="52">
        <v>21806</v>
      </c>
      <c r="H17" s="52">
        <v>23786</v>
      </c>
    </row>
    <row r="18" spans="1:8" ht="12">
      <c r="A18" s="51" t="s">
        <v>22</v>
      </c>
      <c r="B18" s="52">
        <f aca="true" t="shared" si="2" ref="B18:H18">B17/12</f>
        <v>1927.1666666666667</v>
      </c>
      <c r="C18" s="52">
        <f t="shared" si="2"/>
        <v>2485.75</v>
      </c>
      <c r="D18" s="52">
        <f t="shared" si="2"/>
        <v>2448.1666666666665</v>
      </c>
      <c r="E18" s="52">
        <f t="shared" si="2"/>
        <v>2789.3333333333335</v>
      </c>
      <c r="F18" s="52">
        <f t="shared" si="2"/>
        <v>2762.9166666666665</v>
      </c>
      <c r="G18" s="52">
        <f t="shared" si="2"/>
        <v>1817.1666666666667</v>
      </c>
      <c r="H18" s="52">
        <f t="shared" si="2"/>
        <v>1982.1666666666667</v>
      </c>
    </row>
    <row r="19" spans="1:8" ht="12">
      <c r="A19" s="51" t="s">
        <v>23</v>
      </c>
      <c r="B19" s="58">
        <f>B17/4000</f>
        <v>5.7815</v>
      </c>
      <c r="C19" s="58">
        <f>C17/2000</f>
        <v>14.9145</v>
      </c>
      <c r="D19" s="58">
        <f>D17/2000</f>
        <v>14.689</v>
      </c>
      <c r="E19" s="58">
        <f>E17/4000</f>
        <v>8.368</v>
      </c>
      <c r="F19" s="58">
        <f>F17/4000</f>
        <v>8.28875</v>
      </c>
      <c r="G19" s="58">
        <f>G17/2000</f>
        <v>10.903</v>
      </c>
      <c r="H19" s="58">
        <f>H17/2000</f>
        <v>11.893</v>
      </c>
    </row>
    <row r="20" spans="1:8" ht="12">
      <c r="A20" s="51"/>
      <c r="B20" s="57"/>
      <c r="C20" s="57"/>
      <c r="D20" s="57"/>
      <c r="E20" s="57"/>
      <c r="F20" s="57"/>
      <c r="G20" s="57"/>
      <c r="H20" s="57"/>
    </row>
    <row r="21" spans="1:8" ht="12">
      <c r="A21" s="59" t="s">
        <v>24</v>
      </c>
      <c r="B21" s="60">
        <v>12649</v>
      </c>
      <c r="C21" s="60">
        <v>15219</v>
      </c>
      <c r="D21" s="60">
        <v>15219</v>
      </c>
      <c r="E21" s="60">
        <v>19157</v>
      </c>
      <c r="F21" s="60">
        <v>19157</v>
      </c>
      <c r="G21" s="60">
        <v>19157</v>
      </c>
      <c r="H21" s="60">
        <v>19157</v>
      </c>
    </row>
    <row r="22" spans="1:8" ht="12">
      <c r="A22" s="59" t="s">
        <v>25</v>
      </c>
      <c r="B22" s="61">
        <f aca="true" t="shared" si="3" ref="B22:H22">B17/B21</f>
        <v>1.8282868210925765</v>
      </c>
      <c r="C22" s="61">
        <f t="shared" si="3"/>
        <v>1.9599842302385175</v>
      </c>
      <c r="D22" s="61">
        <f t="shared" si="3"/>
        <v>1.9303502201195875</v>
      </c>
      <c r="E22" s="61">
        <f t="shared" si="3"/>
        <v>1.7472464373336116</v>
      </c>
      <c r="F22" s="61">
        <f t="shared" si="3"/>
        <v>1.7306989612152215</v>
      </c>
      <c r="G22" s="61">
        <f t="shared" si="3"/>
        <v>1.138278436080806</v>
      </c>
      <c r="H22" s="61">
        <f t="shared" si="3"/>
        <v>1.241634911520593</v>
      </c>
    </row>
    <row r="24" ht="12">
      <c r="A24" s="54" t="s">
        <v>26</v>
      </c>
    </row>
    <row r="25" ht="12">
      <c r="A25" s="54" t="s">
        <v>27</v>
      </c>
    </row>
    <row r="28" ht="12.75">
      <c r="A28" s="65" t="s">
        <v>70</v>
      </c>
    </row>
  </sheetData>
  <mergeCells count="1">
    <mergeCell ref="A4:A6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31.57421875" style="54" customWidth="1"/>
    <col min="2" max="2" width="20.140625" style="54" bestFit="1" customWidth="1"/>
    <col min="3" max="4" width="29.7109375" style="54" bestFit="1" customWidth="1"/>
    <col min="5" max="5" width="27.00390625" style="54" bestFit="1" customWidth="1"/>
    <col min="6" max="6" width="29.7109375" style="54" bestFit="1" customWidth="1"/>
    <col min="7" max="7" width="27.00390625" style="54" bestFit="1" customWidth="1"/>
    <col min="8" max="8" width="29.7109375" style="54" bestFit="1" customWidth="1"/>
    <col min="9" max="16384" width="9.140625" style="54" customWidth="1"/>
  </cols>
  <sheetData>
    <row r="1" ht="20.25">
      <c r="A1" s="53" t="s">
        <v>29</v>
      </c>
    </row>
    <row r="2" ht="12">
      <c r="A2" s="55" t="s">
        <v>1</v>
      </c>
    </row>
    <row r="3" ht="12">
      <c r="A3" s="55"/>
    </row>
    <row r="4" spans="1:8" s="56" customFormat="1" ht="12">
      <c r="A4" s="77" t="s">
        <v>2</v>
      </c>
      <c r="B4" s="46" t="s">
        <v>3</v>
      </c>
      <c r="C4" s="46" t="s">
        <v>4</v>
      </c>
      <c r="D4" s="46" t="s">
        <v>4</v>
      </c>
      <c r="E4" s="46" t="s">
        <v>5</v>
      </c>
      <c r="F4" s="46" t="s">
        <v>5</v>
      </c>
      <c r="G4" s="46" t="s">
        <v>6</v>
      </c>
      <c r="H4" s="46" t="s">
        <v>6</v>
      </c>
    </row>
    <row r="5" spans="1:8" s="56" customFormat="1" ht="12">
      <c r="A5" s="78"/>
      <c r="B5" s="48" t="s">
        <v>7</v>
      </c>
      <c r="C5" s="48" t="s">
        <v>8</v>
      </c>
      <c r="D5" s="48" t="s">
        <v>8</v>
      </c>
      <c r="E5" s="48" t="s">
        <v>7</v>
      </c>
      <c r="F5" s="48" t="s">
        <v>7</v>
      </c>
      <c r="G5" s="48" t="s">
        <v>7</v>
      </c>
      <c r="H5" s="48" t="s">
        <v>7</v>
      </c>
    </row>
    <row r="6" spans="1:8" s="56" customFormat="1" ht="12">
      <c r="A6" s="79"/>
      <c r="B6" s="49" t="s">
        <v>9</v>
      </c>
      <c r="C6" s="49" t="s">
        <v>10</v>
      </c>
      <c r="D6" s="49" t="s">
        <v>11</v>
      </c>
      <c r="E6" s="49" t="s">
        <v>10</v>
      </c>
      <c r="F6" s="49" t="s">
        <v>11</v>
      </c>
      <c r="G6" s="49" t="s">
        <v>10</v>
      </c>
      <c r="H6" s="49" t="s">
        <v>11</v>
      </c>
    </row>
    <row r="7" spans="1:8" ht="12">
      <c r="A7" s="51" t="s">
        <v>12</v>
      </c>
      <c r="B7" s="52">
        <f>382.9*(1-0.0775)</f>
        <v>353.22524999999996</v>
      </c>
      <c r="C7" s="52">
        <f>(185.7+95.8+105.2)*(1-0.0775)</f>
        <v>356.73075</v>
      </c>
      <c r="D7" s="52">
        <f>(185.7+141.6+159.1)*(1-0.0775)</f>
        <v>448.70399999999995</v>
      </c>
      <c r="E7" s="52">
        <f>549.1*(1-0.0775)</f>
        <v>506.54475</v>
      </c>
      <c r="F7" s="52">
        <f>648.8*(1-0.0775)</f>
        <v>598.5179999999999</v>
      </c>
      <c r="G7" s="52">
        <f>549.1*(1-0.0775)</f>
        <v>506.54475</v>
      </c>
      <c r="H7" s="52">
        <f>648.8*(1-0.0775)</f>
        <v>598.5179999999999</v>
      </c>
    </row>
    <row r="8" spans="1:8" ht="12">
      <c r="A8" s="51" t="s">
        <v>13</v>
      </c>
      <c r="B8" s="52">
        <v>503</v>
      </c>
      <c r="C8" s="52">
        <v>597</v>
      </c>
      <c r="D8" s="52">
        <v>597</v>
      </c>
      <c r="E8" s="52">
        <v>597</v>
      </c>
      <c r="F8" s="52">
        <v>597</v>
      </c>
      <c r="G8" s="52">
        <v>597</v>
      </c>
      <c r="H8" s="52">
        <v>597</v>
      </c>
    </row>
    <row r="9" spans="1:8" ht="12">
      <c r="A9" s="51" t="s">
        <v>14</v>
      </c>
      <c r="B9" s="52">
        <f>103+(80/12)</f>
        <v>109.66666666666667</v>
      </c>
      <c r="C9" s="52">
        <f>127+(180/12)</f>
        <v>142</v>
      </c>
      <c r="D9" s="52">
        <f>145+(180/12)</f>
        <v>160</v>
      </c>
      <c r="E9" s="52">
        <f>167+(220/12)</f>
        <v>185.33333333333334</v>
      </c>
      <c r="F9" s="52">
        <f>190+(220/12)</f>
        <v>208.33333333333334</v>
      </c>
      <c r="G9" s="52">
        <f>167+(220/12)</f>
        <v>185.33333333333334</v>
      </c>
      <c r="H9" s="52">
        <f>190+(220/12)</f>
        <v>208.33333333333334</v>
      </c>
    </row>
    <row r="10" spans="1:8" ht="12">
      <c r="A10" s="51" t="s">
        <v>15</v>
      </c>
      <c r="B10" s="52">
        <f>250+115+42</f>
        <v>407</v>
      </c>
      <c r="C10" s="52">
        <f>250+105+49</f>
        <v>404</v>
      </c>
      <c r="D10" s="52">
        <f>250+115+45</f>
        <v>410</v>
      </c>
      <c r="E10" s="52">
        <f>250+125+42</f>
        <v>417</v>
      </c>
      <c r="F10" s="52">
        <f>250+134+41</f>
        <v>425</v>
      </c>
      <c r="G10" s="52">
        <f>250+125+42</f>
        <v>417</v>
      </c>
      <c r="H10" s="52">
        <f>250+134+41</f>
        <v>425</v>
      </c>
    </row>
    <row r="11" spans="1:8" ht="12">
      <c r="A11" s="51" t="s">
        <v>16</v>
      </c>
      <c r="B11" s="52">
        <v>0</v>
      </c>
      <c r="C11" s="52">
        <f>82.5*1.9*4</f>
        <v>627</v>
      </c>
      <c r="D11" s="52">
        <f>75*1.9*4</f>
        <v>570</v>
      </c>
      <c r="E11" s="52">
        <f>82.5*1.9*4</f>
        <v>627</v>
      </c>
      <c r="F11" s="52">
        <f>75*1.9*4</f>
        <v>570</v>
      </c>
      <c r="G11" s="52">
        <v>0</v>
      </c>
      <c r="H11" s="52">
        <v>0</v>
      </c>
    </row>
    <row r="12" spans="1:8" ht="12">
      <c r="A12" s="51" t="s">
        <v>17</v>
      </c>
      <c r="B12" s="52">
        <f>65+47+(37+33+14+39)*1.06</f>
        <v>242.38</v>
      </c>
      <c r="C12" s="52">
        <f>65+47+(37+33+39+4+6)*1.06</f>
        <v>238.14</v>
      </c>
      <c r="D12" s="52">
        <f>65+47+(37+33+39+4+6)*1.06</f>
        <v>238.14</v>
      </c>
      <c r="E12" s="52">
        <f>65+47+(37+33+14+39+4+6)*1.06</f>
        <v>252.98000000000002</v>
      </c>
      <c r="F12" s="52">
        <f>65+47+(37+33+14+39+4+6)*1.06</f>
        <v>252.98000000000002</v>
      </c>
      <c r="G12" s="52">
        <f>65+47+(37+33+14+39+4+6)*1.06</f>
        <v>252.98000000000002</v>
      </c>
      <c r="H12" s="52">
        <f>65+47+(37+33+14+39+4+6)*1.06</f>
        <v>252.98000000000002</v>
      </c>
    </row>
    <row r="13" spans="1:8" ht="12">
      <c r="A13" s="51"/>
      <c r="B13" s="57"/>
      <c r="C13" s="57"/>
      <c r="D13" s="57"/>
      <c r="E13" s="57"/>
      <c r="F13" s="57"/>
      <c r="G13" s="57"/>
      <c r="H13" s="57"/>
    </row>
    <row r="14" spans="1:8" ht="12">
      <c r="A14" s="51" t="s">
        <v>18</v>
      </c>
      <c r="B14" s="52">
        <f aca="true" t="shared" si="0" ref="B14:H14">SUM(B7:B12)</f>
        <v>1615.2719166666666</v>
      </c>
      <c r="C14" s="52">
        <f t="shared" si="0"/>
        <v>2364.8707499999996</v>
      </c>
      <c r="D14" s="52">
        <f t="shared" si="0"/>
        <v>2423.8439999999996</v>
      </c>
      <c r="E14" s="52">
        <f t="shared" si="0"/>
        <v>2585.858083333333</v>
      </c>
      <c r="F14" s="52">
        <f t="shared" si="0"/>
        <v>2651.831333333333</v>
      </c>
      <c r="G14" s="52">
        <f t="shared" si="0"/>
        <v>1958.8580833333333</v>
      </c>
      <c r="H14" s="52">
        <f t="shared" si="0"/>
        <v>2081.8313333333335</v>
      </c>
    </row>
    <row r="15" spans="1:8" ht="12">
      <c r="A15" s="51" t="s">
        <v>19</v>
      </c>
      <c r="B15" s="52">
        <f aca="true" t="shared" si="1" ref="B15:H15">B14*12</f>
        <v>19383.263</v>
      </c>
      <c r="C15" s="52">
        <f t="shared" si="1"/>
        <v>28378.448999999993</v>
      </c>
      <c r="D15" s="52">
        <f t="shared" si="1"/>
        <v>29086.127999999997</v>
      </c>
      <c r="E15" s="52">
        <f t="shared" si="1"/>
        <v>31030.297</v>
      </c>
      <c r="F15" s="52">
        <f t="shared" si="1"/>
        <v>31821.975999999995</v>
      </c>
      <c r="G15" s="52">
        <f t="shared" si="1"/>
        <v>23506.297</v>
      </c>
      <c r="H15" s="52">
        <f t="shared" si="1"/>
        <v>24981.976000000002</v>
      </c>
    </row>
    <row r="16" spans="1:8" ht="12">
      <c r="A16" s="51" t="s">
        <v>20</v>
      </c>
      <c r="B16" s="52">
        <v>3225.3534500000005</v>
      </c>
      <c r="C16" s="52">
        <v>-421.92314999999985</v>
      </c>
      <c r="D16" s="52">
        <v>-56.70349999999985</v>
      </c>
      <c r="E16" s="52">
        <v>555.2663000000002</v>
      </c>
      <c r="F16" s="52">
        <v>984.0073000000002</v>
      </c>
      <c r="G16" s="52">
        <v>-2669.5391500000005</v>
      </c>
      <c r="H16" s="52">
        <v>-2307.51125</v>
      </c>
    </row>
    <row r="17" spans="1:8" ht="12">
      <c r="A17" s="51" t="s">
        <v>21</v>
      </c>
      <c r="B17" s="52">
        <v>22609</v>
      </c>
      <c r="C17" s="52">
        <v>27957</v>
      </c>
      <c r="D17" s="52">
        <v>29030</v>
      </c>
      <c r="E17" s="52">
        <v>31586</v>
      </c>
      <c r="F17" s="52">
        <v>32806</v>
      </c>
      <c r="G17" s="52">
        <v>20837</v>
      </c>
      <c r="H17" s="52">
        <v>22675</v>
      </c>
    </row>
    <row r="18" spans="1:8" ht="12">
      <c r="A18" s="51" t="s">
        <v>22</v>
      </c>
      <c r="B18" s="52">
        <f aca="true" t="shared" si="2" ref="B18:H18">B17/12</f>
        <v>1884.0833333333333</v>
      </c>
      <c r="C18" s="52">
        <f t="shared" si="2"/>
        <v>2329.75</v>
      </c>
      <c r="D18" s="52">
        <f t="shared" si="2"/>
        <v>2419.1666666666665</v>
      </c>
      <c r="E18" s="52">
        <f t="shared" si="2"/>
        <v>2632.1666666666665</v>
      </c>
      <c r="F18" s="52">
        <f t="shared" si="2"/>
        <v>2733.8333333333335</v>
      </c>
      <c r="G18" s="52">
        <f t="shared" si="2"/>
        <v>1736.4166666666667</v>
      </c>
      <c r="H18" s="52">
        <f t="shared" si="2"/>
        <v>1889.5833333333333</v>
      </c>
    </row>
    <row r="19" spans="1:8" ht="12">
      <c r="A19" s="51" t="s">
        <v>23</v>
      </c>
      <c r="B19" s="58">
        <f>B17/4000</f>
        <v>5.65225</v>
      </c>
      <c r="C19" s="58">
        <f>C17/2000</f>
        <v>13.9785</v>
      </c>
      <c r="D19" s="58">
        <f>D17/2000</f>
        <v>14.515</v>
      </c>
      <c r="E19" s="58">
        <f>E17/4000</f>
        <v>7.8965</v>
      </c>
      <c r="F19" s="58">
        <f>F17/4000</f>
        <v>8.2015</v>
      </c>
      <c r="G19" s="58">
        <f>G17/2000</f>
        <v>10.4185</v>
      </c>
      <c r="H19" s="58">
        <f>H17/2000</f>
        <v>11.3375</v>
      </c>
    </row>
    <row r="20" spans="1:8" ht="12">
      <c r="A20" s="51"/>
      <c r="B20" s="57"/>
      <c r="C20" s="57"/>
      <c r="D20" s="57"/>
      <c r="E20" s="57"/>
      <c r="F20" s="57"/>
      <c r="G20" s="57"/>
      <c r="H20" s="57"/>
    </row>
    <row r="21" spans="1:8" ht="12">
      <c r="A21" s="59" t="s">
        <v>24</v>
      </c>
      <c r="B21" s="60">
        <v>12649</v>
      </c>
      <c r="C21" s="60">
        <v>15219</v>
      </c>
      <c r="D21" s="60">
        <v>15219</v>
      </c>
      <c r="E21" s="60">
        <v>19157</v>
      </c>
      <c r="F21" s="60">
        <v>19157</v>
      </c>
      <c r="G21" s="60">
        <v>19157</v>
      </c>
      <c r="H21" s="60">
        <v>19157</v>
      </c>
    </row>
    <row r="22" spans="1:8" ht="12">
      <c r="A22" s="59" t="s">
        <v>25</v>
      </c>
      <c r="B22" s="61">
        <f aca="true" t="shared" si="3" ref="B22:H22">B17/B21</f>
        <v>1.7874140248240968</v>
      </c>
      <c r="C22" s="61">
        <f t="shared" si="3"/>
        <v>1.8369800906761284</v>
      </c>
      <c r="D22" s="61">
        <f t="shared" si="3"/>
        <v>1.9074840659701688</v>
      </c>
      <c r="E22" s="61">
        <f t="shared" si="3"/>
        <v>1.6487967844652085</v>
      </c>
      <c r="F22" s="61">
        <f t="shared" si="3"/>
        <v>1.7124810774129562</v>
      </c>
      <c r="G22" s="61">
        <f t="shared" si="3"/>
        <v>1.0876964034034557</v>
      </c>
      <c r="H22" s="61">
        <f t="shared" si="3"/>
        <v>1.1836404447460458</v>
      </c>
    </row>
    <row r="24" ht="12">
      <c r="A24" s="54" t="s">
        <v>26</v>
      </c>
    </row>
    <row r="25" ht="12">
      <c r="A25" s="54" t="s">
        <v>27</v>
      </c>
    </row>
    <row r="28" ht="12.75">
      <c r="A28" s="65" t="s">
        <v>70</v>
      </c>
    </row>
  </sheetData>
  <mergeCells count="1">
    <mergeCell ref="A4:A6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32.00390625" style="54" customWidth="1"/>
    <col min="2" max="2" width="20.140625" style="54" bestFit="1" customWidth="1"/>
    <col min="3" max="4" width="29.7109375" style="54" bestFit="1" customWidth="1"/>
    <col min="5" max="5" width="27.00390625" style="54" bestFit="1" customWidth="1"/>
    <col min="6" max="6" width="29.7109375" style="54" bestFit="1" customWidth="1"/>
    <col min="7" max="7" width="27.00390625" style="54" bestFit="1" customWidth="1"/>
    <col min="8" max="8" width="29.7109375" style="54" bestFit="1" customWidth="1"/>
    <col min="9" max="16384" width="9.140625" style="54" customWidth="1"/>
  </cols>
  <sheetData>
    <row r="1" ht="20.25">
      <c r="A1" s="53" t="s">
        <v>37</v>
      </c>
    </row>
    <row r="2" ht="12">
      <c r="A2" s="55" t="s">
        <v>1</v>
      </c>
    </row>
    <row r="3" ht="12">
      <c r="A3" s="55"/>
    </row>
    <row r="4" spans="1:8" s="56" customFormat="1" ht="12">
      <c r="A4" s="77" t="s">
        <v>2</v>
      </c>
      <c r="B4" s="46" t="s">
        <v>3</v>
      </c>
      <c r="C4" s="46" t="s">
        <v>4</v>
      </c>
      <c r="D4" s="46" t="s">
        <v>4</v>
      </c>
      <c r="E4" s="46" t="s">
        <v>5</v>
      </c>
      <c r="F4" s="46" t="s">
        <v>5</v>
      </c>
      <c r="G4" s="46" t="s">
        <v>6</v>
      </c>
      <c r="H4" s="46" t="s">
        <v>6</v>
      </c>
    </row>
    <row r="5" spans="1:8" s="56" customFormat="1" ht="12">
      <c r="A5" s="78"/>
      <c r="B5" s="48" t="s">
        <v>7</v>
      </c>
      <c r="C5" s="48" t="s">
        <v>8</v>
      </c>
      <c r="D5" s="48" t="s">
        <v>8</v>
      </c>
      <c r="E5" s="48" t="s">
        <v>7</v>
      </c>
      <c r="F5" s="48" t="s">
        <v>7</v>
      </c>
      <c r="G5" s="48" t="s">
        <v>7</v>
      </c>
      <c r="H5" s="48" t="s">
        <v>7</v>
      </c>
    </row>
    <row r="6" spans="1:8" s="56" customFormat="1" ht="12">
      <c r="A6" s="79"/>
      <c r="B6" s="49" t="s">
        <v>9</v>
      </c>
      <c r="C6" s="49" t="s">
        <v>10</v>
      </c>
      <c r="D6" s="49" t="s">
        <v>11</v>
      </c>
      <c r="E6" s="49" t="s">
        <v>10</v>
      </c>
      <c r="F6" s="49" t="s">
        <v>11</v>
      </c>
      <c r="G6" s="49" t="s">
        <v>10</v>
      </c>
      <c r="H6" s="49" t="s">
        <v>11</v>
      </c>
    </row>
    <row r="7" spans="1:8" ht="12">
      <c r="A7" s="51" t="s">
        <v>12</v>
      </c>
      <c r="B7" s="52">
        <f>382.9*(1-0.0775)</f>
        <v>353.22524999999996</v>
      </c>
      <c r="C7" s="52">
        <f>(185.7+95.8+105.2)*(1-0.0775)</f>
        <v>356.73075</v>
      </c>
      <c r="D7" s="52">
        <f>(185.7+141.6+159.1)*(1-0.0775)</f>
        <v>448.70399999999995</v>
      </c>
      <c r="E7" s="52">
        <f>549.1*(1-0.0775)</f>
        <v>506.54475</v>
      </c>
      <c r="F7" s="52">
        <f>648.8*(1-0.0775)</f>
        <v>598.5179999999999</v>
      </c>
      <c r="G7" s="52">
        <f>549.1*(1-0.0775)</f>
        <v>506.54475</v>
      </c>
      <c r="H7" s="52">
        <f>648.8*(1-0.0775)</f>
        <v>598.5179999999999</v>
      </c>
    </row>
    <row r="8" spans="1:8" ht="12">
      <c r="A8" s="51" t="s">
        <v>13</v>
      </c>
      <c r="B8" s="52">
        <v>484</v>
      </c>
      <c r="C8" s="52">
        <v>585</v>
      </c>
      <c r="D8" s="52">
        <v>585</v>
      </c>
      <c r="E8" s="52">
        <v>585</v>
      </c>
      <c r="F8" s="52">
        <v>585</v>
      </c>
      <c r="G8" s="52">
        <v>585</v>
      </c>
      <c r="H8" s="52">
        <v>585</v>
      </c>
    </row>
    <row r="9" spans="1:8" ht="12">
      <c r="A9" s="51" t="s">
        <v>14</v>
      </c>
      <c r="B9" s="52">
        <f>103+(80/12)</f>
        <v>109.66666666666667</v>
      </c>
      <c r="C9" s="52">
        <f>127+(180/12)</f>
        <v>142</v>
      </c>
      <c r="D9" s="52">
        <f>145+(180/12)</f>
        <v>160</v>
      </c>
      <c r="E9" s="52">
        <f>167+(220/12)</f>
        <v>185.33333333333334</v>
      </c>
      <c r="F9" s="52">
        <f>190+(220/12)</f>
        <v>208.33333333333334</v>
      </c>
      <c r="G9" s="52">
        <f>167+(220/12)</f>
        <v>185.33333333333334</v>
      </c>
      <c r="H9" s="52">
        <f>190+(220/12)</f>
        <v>208.33333333333334</v>
      </c>
    </row>
    <row r="10" spans="1:8" ht="12">
      <c r="A10" s="51" t="s">
        <v>15</v>
      </c>
      <c r="B10" s="52">
        <f>250+115+42</f>
        <v>407</v>
      </c>
      <c r="C10" s="52">
        <f>250+105+49</f>
        <v>404</v>
      </c>
      <c r="D10" s="52">
        <f>250+115+45</f>
        <v>410</v>
      </c>
      <c r="E10" s="52">
        <f>250+125+42</f>
        <v>417</v>
      </c>
      <c r="F10" s="52">
        <f>250+134+41</f>
        <v>425</v>
      </c>
      <c r="G10" s="52">
        <f>250+125+42</f>
        <v>417</v>
      </c>
      <c r="H10" s="52">
        <f>250+134+41</f>
        <v>425</v>
      </c>
    </row>
    <row r="11" spans="1:8" ht="12">
      <c r="A11" s="51" t="s">
        <v>16</v>
      </c>
      <c r="B11" s="52">
        <v>0</v>
      </c>
      <c r="C11" s="52">
        <f>85*1.9*4</f>
        <v>646</v>
      </c>
      <c r="D11" s="52">
        <f>85*1.9*4</f>
        <v>646</v>
      </c>
      <c r="E11" s="52">
        <f>85*1.9*4</f>
        <v>646</v>
      </c>
      <c r="F11" s="52">
        <f>85*1.9*4</f>
        <v>646</v>
      </c>
      <c r="G11" s="52">
        <v>0</v>
      </c>
      <c r="H11" s="52">
        <v>0</v>
      </c>
    </row>
    <row r="12" spans="1:8" ht="12">
      <c r="A12" s="51" t="s">
        <v>17</v>
      </c>
      <c r="B12" s="52">
        <f>65+47+(37+33+14+39)*1.06</f>
        <v>242.38</v>
      </c>
      <c r="C12" s="52">
        <f>65+47+(37+33+39+4+6)*1.06</f>
        <v>238.14</v>
      </c>
      <c r="D12" s="52">
        <f>65+47+(37+33+39+4+6)*1.06</f>
        <v>238.14</v>
      </c>
      <c r="E12" s="52">
        <f>65+47+(37+33+14+39+4+6)*1.06</f>
        <v>252.98000000000002</v>
      </c>
      <c r="F12" s="52">
        <f>65+47+(37+33+14+39+4+6)*1.06</f>
        <v>252.98000000000002</v>
      </c>
      <c r="G12" s="52">
        <f>65+47+(37+33+14+39+4+6)*1.06</f>
        <v>252.98000000000002</v>
      </c>
      <c r="H12" s="52">
        <f>65+47+(37+33+14+39+4+6)*1.06</f>
        <v>252.98000000000002</v>
      </c>
    </row>
    <row r="13" spans="1:8" ht="12">
      <c r="A13" s="51"/>
      <c r="B13" s="57"/>
      <c r="C13" s="57"/>
      <c r="D13" s="57"/>
      <c r="E13" s="57"/>
      <c r="F13" s="57"/>
      <c r="G13" s="57"/>
      <c r="H13" s="57"/>
    </row>
    <row r="14" spans="1:8" ht="12">
      <c r="A14" s="51" t="s">
        <v>18</v>
      </c>
      <c r="B14" s="52">
        <f aca="true" t="shared" si="0" ref="B14:H14">SUM(B7:B12)</f>
        <v>1596.2719166666666</v>
      </c>
      <c r="C14" s="52">
        <f t="shared" si="0"/>
        <v>2371.8707499999996</v>
      </c>
      <c r="D14" s="52">
        <f t="shared" si="0"/>
        <v>2487.8439999999996</v>
      </c>
      <c r="E14" s="52">
        <f t="shared" si="0"/>
        <v>2592.858083333333</v>
      </c>
      <c r="F14" s="52">
        <f t="shared" si="0"/>
        <v>2715.831333333333</v>
      </c>
      <c r="G14" s="52">
        <f t="shared" si="0"/>
        <v>1946.8580833333333</v>
      </c>
      <c r="H14" s="52">
        <f t="shared" si="0"/>
        <v>2069.8313333333335</v>
      </c>
    </row>
    <row r="15" spans="1:8" ht="12">
      <c r="A15" s="51" t="s">
        <v>19</v>
      </c>
      <c r="B15" s="52">
        <f aca="true" t="shared" si="1" ref="B15:H15">B14*12</f>
        <v>19155.263</v>
      </c>
      <c r="C15" s="52">
        <f t="shared" si="1"/>
        <v>28462.448999999993</v>
      </c>
      <c r="D15" s="52">
        <f t="shared" si="1"/>
        <v>29854.127999999997</v>
      </c>
      <c r="E15" s="52">
        <f t="shared" si="1"/>
        <v>31114.297</v>
      </c>
      <c r="F15" s="52">
        <f t="shared" si="1"/>
        <v>32589.975999999995</v>
      </c>
      <c r="G15" s="52">
        <f t="shared" si="1"/>
        <v>23362.297</v>
      </c>
      <c r="H15" s="52">
        <f t="shared" si="1"/>
        <v>24837.976000000002</v>
      </c>
    </row>
    <row r="16" spans="1:8" ht="12">
      <c r="A16" s="51" t="s">
        <v>20</v>
      </c>
      <c r="B16" s="52">
        <v>3107.66925</v>
      </c>
      <c r="C16" s="52">
        <v>-449.24850000000004</v>
      </c>
      <c r="D16" s="52">
        <v>273.48299999999995</v>
      </c>
      <c r="E16" s="52">
        <v>522.2357500000002</v>
      </c>
      <c r="F16" s="52">
        <v>1293.7539999999997</v>
      </c>
      <c r="G16" s="52">
        <v>-2733.84225</v>
      </c>
      <c r="H16" s="52">
        <v>-2375.9207499999998</v>
      </c>
    </row>
    <row r="17" spans="1:8" ht="12">
      <c r="A17" s="51" t="s">
        <v>21</v>
      </c>
      <c r="B17" s="52">
        <v>22263</v>
      </c>
      <c r="C17" s="52">
        <v>28014</v>
      </c>
      <c r="D17" s="52">
        <v>30128</v>
      </c>
      <c r="E17" s="52">
        <v>31637</v>
      </c>
      <c r="F17" s="52">
        <v>33884</v>
      </c>
      <c r="G17" s="52">
        <v>20629</v>
      </c>
      <c r="H17" s="52">
        <v>22463</v>
      </c>
    </row>
    <row r="18" spans="1:8" ht="12">
      <c r="A18" s="51" t="s">
        <v>22</v>
      </c>
      <c r="B18" s="52">
        <f aca="true" t="shared" si="2" ref="B18:H18">B17/12</f>
        <v>1855.25</v>
      </c>
      <c r="C18" s="52">
        <f t="shared" si="2"/>
        <v>2334.5</v>
      </c>
      <c r="D18" s="52">
        <f t="shared" si="2"/>
        <v>2510.6666666666665</v>
      </c>
      <c r="E18" s="52">
        <f t="shared" si="2"/>
        <v>2636.4166666666665</v>
      </c>
      <c r="F18" s="52">
        <f t="shared" si="2"/>
        <v>2823.6666666666665</v>
      </c>
      <c r="G18" s="52">
        <f t="shared" si="2"/>
        <v>1719.0833333333333</v>
      </c>
      <c r="H18" s="52">
        <f t="shared" si="2"/>
        <v>1871.9166666666667</v>
      </c>
    </row>
    <row r="19" spans="1:8" ht="12">
      <c r="A19" s="51" t="s">
        <v>23</v>
      </c>
      <c r="B19" s="58">
        <f>B17/4000</f>
        <v>5.56575</v>
      </c>
      <c r="C19" s="58">
        <f>C17/2000</f>
        <v>14.007</v>
      </c>
      <c r="D19" s="58">
        <f>D17/2000</f>
        <v>15.064</v>
      </c>
      <c r="E19" s="58">
        <f>E17/4000</f>
        <v>7.90925</v>
      </c>
      <c r="F19" s="58">
        <f>F17/4000</f>
        <v>8.471</v>
      </c>
      <c r="G19" s="58">
        <f>G17/2000</f>
        <v>10.3145</v>
      </c>
      <c r="H19" s="58">
        <f>H17/2000</f>
        <v>11.2315</v>
      </c>
    </row>
    <row r="20" spans="1:8" ht="12">
      <c r="A20" s="51"/>
      <c r="B20" s="57"/>
      <c r="C20" s="57"/>
      <c r="D20" s="57"/>
      <c r="E20" s="57"/>
      <c r="F20" s="57"/>
      <c r="G20" s="57"/>
      <c r="H20" s="57"/>
    </row>
    <row r="21" spans="1:8" ht="12">
      <c r="A21" s="59" t="s">
        <v>24</v>
      </c>
      <c r="B21" s="60">
        <v>12649</v>
      </c>
      <c r="C21" s="60">
        <v>15219</v>
      </c>
      <c r="D21" s="60">
        <v>15219</v>
      </c>
      <c r="E21" s="60">
        <v>19157</v>
      </c>
      <c r="F21" s="60">
        <v>19157</v>
      </c>
      <c r="G21" s="60">
        <v>19157</v>
      </c>
      <c r="H21" s="60">
        <v>19157</v>
      </c>
    </row>
    <row r="22" spans="1:8" ht="12">
      <c r="A22" s="59" t="s">
        <v>25</v>
      </c>
      <c r="B22" s="61">
        <f aca="true" t="shared" si="3" ref="B22:H22">B17/B21</f>
        <v>1.760060083801091</v>
      </c>
      <c r="C22" s="61">
        <f t="shared" si="3"/>
        <v>1.8407254090281884</v>
      </c>
      <c r="D22" s="61">
        <f t="shared" si="3"/>
        <v>1.979630724751955</v>
      </c>
      <c r="E22" s="61">
        <f t="shared" si="3"/>
        <v>1.6514589967113849</v>
      </c>
      <c r="F22" s="61">
        <f t="shared" si="3"/>
        <v>1.7687529362635068</v>
      </c>
      <c r="G22" s="61">
        <f t="shared" si="3"/>
        <v>1.076838753458266</v>
      </c>
      <c r="H22" s="61">
        <f t="shared" si="3"/>
        <v>1.1725739938403716</v>
      </c>
    </row>
    <row r="24" ht="12">
      <c r="A24" s="54" t="s">
        <v>26</v>
      </c>
    </row>
    <row r="25" ht="12">
      <c r="A25" s="54" t="s">
        <v>27</v>
      </c>
    </row>
    <row r="28" ht="12.75">
      <c r="A28" s="65" t="s">
        <v>70</v>
      </c>
    </row>
  </sheetData>
  <mergeCells count="1">
    <mergeCell ref="A4:A6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32.140625" style="54" customWidth="1"/>
    <col min="2" max="2" width="20.140625" style="54" bestFit="1" customWidth="1"/>
    <col min="3" max="4" width="29.7109375" style="54" bestFit="1" customWidth="1"/>
    <col min="5" max="5" width="27.00390625" style="54" bestFit="1" customWidth="1"/>
    <col min="6" max="6" width="29.7109375" style="54" bestFit="1" customWidth="1"/>
    <col min="7" max="7" width="27.00390625" style="54" bestFit="1" customWidth="1"/>
    <col min="8" max="8" width="29.7109375" style="54" bestFit="1" customWidth="1"/>
    <col min="9" max="16384" width="9.140625" style="54" customWidth="1"/>
  </cols>
  <sheetData>
    <row r="1" ht="20.25">
      <c r="A1" s="53" t="s">
        <v>38</v>
      </c>
    </row>
    <row r="2" ht="12">
      <c r="A2" s="55" t="s">
        <v>1</v>
      </c>
    </row>
    <row r="3" ht="12">
      <c r="A3" s="55"/>
    </row>
    <row r="4" spans="1:8" s="56" customFormat="1" ht="12">
      <c r="A4" s="77" t="s">
        <v>2</v>
      </c>
      <c r="B4" s="46" t="s">
        <v>3</v>
      </c>
      <c r="C4" s="46" t="s">
        <v>4</v>
      </c>
      <c r="D4" s="46" t="s">
        <v>4</v>
      </c>
      <c r="E4" s="46" t="s">
        <v>5</v>
      </c>
      <c r="F4" s="46" t="s">
        <v>5</v>
      </c>
      <c r="G4" s="46" t="s">
        <v>6</v>
      </c>
      <c r="H4" s="46" t="s">
        <v>6</v>
      </c>
    </row>
    <row r="5" spans="1:8" s="56" customFormat="1" ht="12">
      <c r="A5" s="78"/>
      <c r="B5" s="48" t="s">
        <v>7</v>
      </c>
      <c r="C5" s="48" t="s">
        <v>8</v>
      </c>
      <c r="D5" s="48" t="s">
        <v>8</v>
      </c>
      <c r="E5" s="48" t="s">
        <v>7</v>
      </c>
      <c r="F5" s="48" t="s">
        <v>7</v>
      </c>
      <c r="G5" s="48" t="s">
        <v>7</v>
      </c>
      <c r="H5" s="48" t="s">
        <v>7</v>
      </c>
    </row>
    <row r="6" spans="1:8" s="56" customFormat="1" ht="12">
      <c r="A6" s="79"/>
      <c r="B6" s="49" t="s">
        <v>9</v>
      </c>
      <c r="C6" s="49" t="s">
        <v>10</v>
      </c>
      <c r="D6" s="49" t="s">
        <v>11</v>
      </c>
      <c r="E6" s="49" t="s">
        <v>10</v>
      </c>
      <c r="F6" s="49" t="s">
        <v>11</v>
      </c>
      <c r="G6" s="49" t="s">
        <v>10</v>
      </c>
      <c r="H6" s="49" t="s">
        <v>11</v>
      </c>
    </row>
    <row r="7" spans="1:8" ht="12">
      <c r="A7" s="51" t="s">
        <v>12</v>
      </c>
      <c r="B7" s="52">
        <f>382.9*(1-0.0775)</f>
        <v>353.22524999999996</v>
      </c>
      <c r="C7" s="52">
        <f>(185.7+95.8+105.2)*(1-0.0775)</f>
        <v>356.73075</v>
      </c>
      <c r="D7" s="52">
        <f>(185.7+141.6+159.1)*(1-0.0775)</f>
        <v>448.70399999999995</v>
      </c>
      <c r="E7" s="52">
        <f>549.1*(1-0.0775)</f>
        <v>506.54475</v>
      </c>
      <c r="F7" s="52">
        <f>648.8*(1-0.0775)</f>
        <v>598.5179999999999</v>
      </c>
      <c r="G7" s="52">
        <f>549.1*(1-0.0775)</f>
        <v>506.54475</v>
      </c>
      <c r="H7" s="52">
        <f>648.8*(1-0.0775)</f>
        <v>598.5179999999999</v>
      </c>
    </row>
    <row r="8" spans="1:8" ht="12">
      <c r="A8" s="51" t="s">
        <v>13</v>
      </c>
      <c r="B8" s="52">
        <v>508</v>
      </c>
      <c r="C8" s="52">
        <v>621</v>
      </c>
      <c r="D8" s="52">
        <v>621</v>
      </c>
      <c r="E8" s="52">
        <v>621</v>
      </c>
      <c r="F8" s="52">
        <v>621</v>
      </c>
      <c r="G8" s="52">
        <v>621</v>
      </c>
      <c r="H8" s="52">
        <v>621</v>
      </c>
    </row>
    <row r="9" spans="1:8" ht="12">
      <c r="A9" s="51" t="s">
        <v>14</v>
      </c>
      <c r="B9" s="52">
        <f>113+(80/12)</f>
        <v>119.66666666666667</v>
      </c>
      <c r="C9" s="52">
        <f>141+(180/12)</f>
        <v>156</v>
      </c>
      <c r="D9" s="52">
        <f>161+(180/12)</f>
        <v>176</v>
      </c>
      <c r="E9" s="52">
        <f>184+(220/12)</f>
        <v>202.33333333333334</v>
      </c>
      <c r="F9" s="52">
        <f>211+(220/12)</f>
        <v>229.33333333333334</v>
      </c>
      <c r="G9" s="52">
        <f>184+(220/12)</f>
        <v>202.33333333333334</v>
      </c>
      <c r="H9" s="52">
        <f>211+(220/12)</f>
        <v>229.33333333333334</v>
      </c>
    </row>
    <row r="10" spans="1:8" ht="12">
      <c r="A10" s="51" t="s">
        <v>15</v>
      </c>
      <c r="B10" s="52">
        <f>250+115+50</f>
        <v>415</v>
      </c>
      <c r="C10" s="52">
        <f>250+105+59</f>
        <v>414</v>
      </c>
      <c r="D10" s="52">
        <f>250+115+55</f>
        <v>420</v>
      </c>
      <c r="E10" s="52">
        <f>250+125+50</f>
        <v>425</v>
      </c>
      <c r="F10" s="52">
        <f>250+134+50</f>
        <v>434</v>
      </c>
      <c r="G10" s="52">
        <f>250+125+50</f>
        <v>425</v>
      </c>
      <c r="H10" s="52">
        <f>250+134+50</f>
        <v>434</v>
      </c>
    </row>
    <row r="11" spans="1:8" ht="12">
      <c r="A11" s="51" t="s">
        <v>16</v>
      </c>
      <c r="B11" s="52">
        <v>0</v>
      </c>
      <c r="C11" s="52">
        <f>88*1.9*4</f>
        <v>668.8</v>
      </c>
      <c r="D11" s="52">
        <f>83*1.9*4</f>
        <v>630.8</v>
      </c>
      <c r="E11" s="52">
        <f>88*1.9*4</f>
        <v>668.8</v>
      </c>
      <c r="F11" s="52">
        <f>83*1.9*4</f>
        <v>630.8</v>
      </c>
      <c r="G11" s="52">
        <v>0</v>
      </c>
      <c r="H11" s="52">
        <v>0</v>
      </c>
    </row>
    <row r="12" spans="1:8" ht="12">
      <c r="A12" s="51" t="s">
        <v>17</v>
      </c>
      <c r="B12" s="52">
        <f>65+47+(37+33+14+39)*1.06</f>
        <v>242.38</v>
      </c>
      <c r="C12" s="52">
        <f>65+47+(37+33+39+4+6)*1.06</f>
        <v>238.14</v>
      </c>
      <c r="D12" s="52">
        <f>65+47+(37+33+39+4+6)*1.06</f>
        <v>238.14</v>
      </c>
      <c r="E12" s="52">
        <f>65+47+(37+33+14+39+4+6)*1.06</f>
        <v>252.98000000000002</v>
      </c>
      <c r="F12" s="52">
        <f>65+47+(37+33+14+39+4+6)*1.06</f>
        <v>252.98000000000002</v>
      </c>
      <c r="G12" s="52">
        <f>65+47+(37+33+14+39+4+6)*1.06</f>
        <v>252.98000000000002</v>
      </c>
      <c r="H12" s="52">
        <f>65+47+(37+33+14+39+4+6)*1.06</f>
        <v>252.98000000000002</v>
      </c>
    </row>
    <row r="13" spans="1:8" ht="12">
      <c r="A13" s="51"/>
      <c r="B13" s="57"/>
      <c r="C13" s="57"/>
      <c r="D13" s="57"/>
      <c r="E13" s="57"/>
      <c r="F13" s="57"/>
      <c r="G13" s="57"/>
      <c r="H13" s="57"/>
    </row>
    <row r="14" spans="1:8" ht="12">
      <c r="A14" s="51" t="s">
        <v>18</v>
      </c>
      <c r="B14" s="52">
        <f aca="true" t="shared" si="0" ref="B14:H14">SUM(B7:B12)</f>
        <v>1638.2719166666666</v>
      </c>
      <c r="C14" s="52">
        <f t="shared" si="0"/>
        <v>2454.6707499999998</v>
      </c>
      <c r="D14" s="52">
        <f t="shared" si="0"/>
        <v>2534.644</v>
      </c>
      <c r="E14" s="52">
        <f t="shared" si="0"/>
        <v>2676.6580833333333</v>
      </c>
      <c r="F14" s="52">
        <f t="shared" si="0"/>
        <v>2766.6313333333333</v>
      </c>
      <c r="G14" s="52">
        <f t="shared" si="0"/>
        <v>2007.8580833333333</v>
      </c>
      <c r="H14" s="52">
        <f t="shared" si="0"/>
        <v>2135.8313333333335</v>
      </c>
    </row>
    <row r="15" spans="1:8" ht="12">
      <c r="A15" s="51" t="s">
        <v>19</v>
      </c>
      <c r="B15" s="52">
        <f aca="true" t="shared" si="1" ref="B15:H15">B14*12</f>
        <v>19659.263</v>
      </c>
      <c r="C15" s="52">
        <f t="shared" si="1"/>
        <v>29456.049</v>
      </c>
      <c r="D15" s="52">
        <f t="shared" si="1"/>
        <v>30415.727999999996</v>
      </c>
      <c r="E15" s="52">
        <f t="shared" si="1"/>
        <v>32119.896999999997</v>
      </c>
      <c r="F15" s="52">
        <f t="shared" si="1"/>
        <v>33199.576</v>
      </c>
      <c r="G15" s="52">
        <f t="shared" si="1"/>
        <v>24094.297</v>
      </c>
      <c r="H15" s="52">
        <f t="shared" si="1"/>
        <v>25629.976000000002</v>
      </c>
    </row>
    <row r="16" spans="1:8" ht="12">
      <c r="A16" s="51" t="s">
        <v>20</v>
      </c>
      <c r="B16" s="52">
        <v>3220.28</v>
      </c>
      <c r="C16" s="52">
        <v>24.558499999999867</v>
      </c>
      <c r="D16" s="52">
        <v>721.9329999999997</v>
      </c>
      <c r="E16" s="52">
        <v>1005.9710000000002</v>
      </c>
      <c r="F16" s="52">
        <v>1568.368</v>
      </c>
      <c r="G16" s="52">
        <v>-2574.42</v>
      </c>
      <c r="H16" s="52">
        <v>-2155.1525</v>
      </c>
    </row>
    <row r="17" spans="1:8" ht="12">
      <c r="A17" s="51" t="s">
        <v>21</v>
      </c>
      <c r="B17" s="52">
        <v>22880</v>
      </c>
      <c r="C17" s="52">
        <v>29481</v>
      </c>
      <c r="D17" s="52">
        <v>31138</v>
      </c>
      <c r="E17" s="52">
        <v>33126</v>
      </c>
      <c r="F17" s="52">
        <v>34768</v>
      </c>
      <c r="G17" s="52">
        <v>21520</v>
      </c>
      <c r="H17" s="52">
        <v>23475</v>
      </c>
    </row>
    <row r="18" spans="1:8" ht="12">
      <c r="A18" s="51" t="s">
        <v>22</v>
      </c>
      <c r="B18" s="52">
        <f aca="true" t="shared" si="2" ref="B18:H18">B17/12</f>
        <v>1906.6666666666667</v>
      </c>
      <c r="C18" s="52">
        <f t="shared" si="2"/>
        <v>2456.75</v>
      </c>
      <c r="D18" s="52">
        <f t="shared" si="2"/>
        <v>2594.8333333333335</v>
      </c>
      <c r="E18" s="52">
        <f t="shared" si="2"/>
        <v>2760.5</v>
      </c>
      <c r="F18" s="52">
        <f t="shared" si="2"/>
        <v>2897.3333333333335</v>
      </c>
      <c r="G18" s="52">
        <f t="shared" si="2"/>
        <v>1793.3333333333333</v>
      </c>
      <c r="H18" s="52">
        <f t="shared" si="2"/>
        <v>1956.25</v>
      </c>
    </row>
    <row r="19" spans="1:8" ht="12">
      <c r="A19" s="51" t="s">
        <v>23</v>
      </c>
      <c r="B19" s="58">
        <f>B17/4000</f>
        <v>5.72</v>
      </c>
      <c r="C19" s="58">
        <f>C17/2000</f>
        <v>14.7405</v>
      </c>
      <c r="D19" s="58">
        <f>D17/2000</f>
        <v>15.569</v>
      </c>
      <c r="E19" s="58">
        <f>E17/4000</f>
        <v>8.2815</v>
      </c>
      <c r="F19" s="58">
        <f>F17/4000</f>
        <v>8.692</v>
      </c>
      <c r="G19" s="58">
        <f>G17/2000</f>
        <v>10.76</v>
      </c>
      <c r="H19" s="58">
        <f>H17/2000</f>
        <v>11.7375</v>
      </c>
    </row>
    <row r="20" spans="1:8" ht="12">
      <c r="A20" s="51"/>
      <c r="B20" s="57"/>
      <c r="C20" s="57"/>
      <c r="D20" s="57"/>
      <c r="E20" s="57"/>
      <c r="F20" s="57"/>
      <c r="G20" s="57"/>
      <c r="H20" s="57"/>
    </row>
    <row r="21" spans="1:8" ht="12">
      <c r="A21" s="59" t="s">
        <v>24</v>
      </c>
      <c r="B21" s="60">
        <v>12649</v>
      </c>
      <c r="C21" s="60">
        <v>15219</v>
      </c>
      <c r="D21" s="60">
        <v>15219</v>
      </c>
      <c r="E21" s="60">
        <v>19157</v>
      </c>
      <c r="F21" s="60">
        <v>19157</v>
      </c>
      <c r="G21" s="60">
        <v>19157</v>
      </c>
      <c r="H21" s="60">
        <v>19157</v>
      </c>
    </row>
    <row r="22" spans="1:8" ht="12">
      <c r="A22" s="59" t="s">
        <v>25</v>
      </c>
      <c r="B22" s="61">
        <f aca="true" t="shared" si="3" ref="B22:H22">B17/B21</f>
        <v>1.8088386433710175</v>
      </c>
      <c r="C22" s="61">
        <f t="shared" si="3"/>
        <v>1.9371180760890991</v>
      </c>
      <c r="D22" s="61">
        <f t="shared" si="3"/>
        <v>2.045995137656876</v>
      </c>
      <c r="E22" s="61">
        <f t="shared" si="3"/>
        <v>1.7291851542517096</v>
      </c>
      <c r="F22" s="61">
        <f t="shared" si="3"/>
        <v>1.8148979485305632</v>
      </c>
      <c r="G22" s="61">
        <f t="shared" si="3"/>
        <v>1.12334916740617</v>
      </c>
      <c r="H22" s="61">
        <f t="shared" si="3"/>
        <v>1.2254006368429295</v>
      </c>
    </row>
    <row r="24" ht="12">
      <c r="A24" s="54" t="s">
        <v>26</v>
      </c>
    </row>
    <row r="25" ht="12">
      <c r="A25" s="54" t="s">
        <v>27</v>
      </c>
    </row>
    <row r="28" ht="12.75">
      <c r="A28" s="65" t="s">
        <v>70</v>
      </c>
    </row>
  </sheetData>
  <mergeCells count="1">
    <mergeCell ref="A4:A6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C30" sqref="C30"/>
    </sheetView>
  </sheetViews>
  <sheetFormatPr defaultColWidth="9.140625" defaultRowHeight="12.75"/>
  <cols>
    <col min="1" max="1" width="32.140625" style="54" customWidth="1"/>
    <col min="2" max="2" width="20.140625" style="54" bestFit="1" customWidth="1"/>
    <col min="3" max="4" width="29.7109375" style="54" bestFit="1" customWidth="1"/>
    <col min="5" max="5" width="27.00390625" style="54" bestFit="1" customWidth="1"/>
    <col min="6" max="6" width="29.7109375" style="54" bestFit="1" customWidth="1"/>
    <col min="7" max="7" width="27.00390625" style="54" bestFit="1" customWidth="1"/>
    <col min="8" max="8" width="29.7109375" style="54" bestFit="1" customWidth="1"/>
    <col min="9" max="16384" width="9.140625" style="54" customWidth="1"/>
  </cols>
  <sheetData>
    <row r="1" ht="20.25">
      <c r="A1" s="53" t="s">
        <v>39</v>
      </c>
    </row>
    <row r="2" ht="12">
      <c r="A2" s="55" t="s">
        <v>1</v>
      </c>
    </row>
    <row r="3" ht="12">
      <c r="A3" s="55"/>
    </row>
    <row r="4" spans="1:8" s="56" customFormat="1" ht="12">
      <c r="A4" s="77" t="s">
        <v>2</v>
      </c>
      <c r="B4" s="46" t="s">
        <v>3</v>
      </c>
      <c r="C4" s="46" t="s">
        <v>4</v>
      </c>
      <c r="D4" s="46" t="s">
        <v>4</v>
      </c>
      <c r="E4" s="46" t="s">
        <v>5</v>
      </c>
      <c r="F4" s="46" t="s">
        <v>5</v>
      </c>
      <c r="G4" s="46" t="s">
        <v>6</v>
      </c>
      <c r="H4" s="46" t="s">
        <v>6</v>
      </c>
    </row>
    <row r="5" spans="1:8" s="56" customFormat="1" ht="12">
      <c r="A5" s="78"/>
      <c r="B5" s="48" t="s">
        <v>7</v>
      </c>
      <c r="C5" s="48" t="s">
        <v>8</v>
      </c>
      <c r="D5" s="48" t="s">
        <v>8</v>
      </c>
      <c r="E5" s="48" t="s">
        <v>7</v>
      </c>
      <c r="F5" s="48" t="s">
        <v>7</v>
      </c>
      <c r="G5" s="48" t="s">
        <v>7</v>
      </c>
      <c r="H5" s="48" t="s">
        <v>7</v>
      </c>
    </row>
    <row r="6" spans="1:8" s="56" customFormat="1" ht="12">
      <c r="A6" s="79"/>
      <c r="B6" s="49" t="s">
        <v>9</v>
      </c>
      <c r="C6" s="49" t="s">
        <v>10</v>
      </c>
      <c r="D6" s="49" t="s">
        <v>11</v>
      </c>
      <c r="E6" s="49" t="s">
        <v>10</v>
      </c>
      <c r="F6" s="49" t="s">
        <v>11</v>
      </c>
      <c r="G6" s="49" t="s">
        <v>10</v>
      </c>
      <c r="H6" s="49" t="s">
        <v>11</v>
      </c>
    </row>
    <row r="7" spans="1:8" ht="12">
      <c r="A7" s="51" t="s">
        <v>12</v>
      </c>
      <c r="B7" s="52">
        <f>382.9*(1-0.0775)</f>
        <v>353.22524999999996</v>
      </c>
      <c r="C7" s="52">
        <f>(185.7+95.8+105.2)*(1-0.0775)</f>
        <v>356.73075</v>
      </c>
      <c r="D7" s="52">
        <f>(185.7+141.6+159.1)*(1-0.0775)</f>
        <v>448.70399999999995</v>
      </c>
      <c r="E7" s="52">
        <f>549.1*(1-0.0775)</f>
        <v>506.54475</v>
      </c>
      <c r="F7" s="52">
        <f>648.8*(1-0.0775)</f>
        <v>598.5179999999999</v>
      </c>
      <c r="G7" s="52">
        <f>549.1*(1-0.0775)</f>
        <v>506.54475</v>
      </c>
      <c r="H7" s="52">
        <f>648.8*(1-0.0775)</f>
        <v>598.5179999999999</v>
      </c>
    </row>
    <row r="8" spans="1:8" ht="12">
      <c r="A8" s="51" t="s">
        <v>13</v>
      </c>
      <c r="B8" s="52">
        <v>403</v>
      </c>
      <c r="C8" s="52">
        <v>522</v>
      </c>
      <c r="D8" s="52">
        <v>522</v>
      </c>
      <c r="E8" s="52">
        <v>522</v>
      </c>
      <c r="F8" s="52">
        <v>522</v>
      </c>
      <c r="G8" s="52">
        <v>522</v>
      </c>
      <c r="H8" s="52">
        <v>522</v>
      </c>
    </row>
    <row r="9" spans="1:8" ht="12">
      <c r="A9" s="51" t="s">
        <v>14</v>
      </c>
      <c r="B9" s="52">
        <f>103+(80/12)</f>
        <v>109.66666666666667</v>
      </c>
      <c r="C9" s="52">
        <f>127+(180/12)</f>
        <v>142</v>
      </c>
      <c r="D9" s="52">
        <f>145+(180/12)</f>
        <v>160</v>
      </c>
      <c r="E9" s="52">
        <f>167+(220/12)</f>
        <v>185.33333333333334</v>
      </c>
      <c r="F9" s="52">
        <f>190+(220/12)</f>
        <v>208.33333333333334</v>
      </c>
      <c r="G9" s="52">
        <f>167+(220/12)</f>
        <v>185.33333333333334</v>
      </c>
      <c r="H9" s="52">
        <f>190+(220/12)</f>
        <v>208.33333333333334</v>
      </c>
    </row>
    <row r="10" spans="1:8" ht="12">
      <c r="A10" s="51" t="s">
        <v>15</v>
      </c>
      <c r="B10" s="52">
        <f>250+115+42</f>
        <v>407</v>
      </c>
      <c r="C10" s="52">
        <f>250+105+49</f>
        <v>404</v>
      </c>
      <c r="D10" s="52">
        <f>250+115+45</f>
        <v>410</v>
      </c>
      <c r="E10" s="52">
        <f>250+125+42</f>
        <v>417</v>
      </c>
      <c r="F10" s="52">
        <f>250+134+41</f>
        <v>425</v>
      </c>
      <c r="G10" s="52">
        <f>250+125+42</f>
        <v>417</v>
      </c>
      <c r="H10" s="52">
        <f>250+134+41</f>
        <v>425</v>
      </c>
    </row>
    <row r="11" spans="1:8" ht="12">
      <c r="A11" s="51" t="s">
        <v>16</v>
      </c>
      <c r="B11" s="52">
        <v>0</v>
      </c>
      <c r="C11" s="52">
        <f>75*1.9*4</f>
        <v>570</v>
      </c>
      <c r="D11" s="52">
        <f>49*1.9*4</f>
        <v>372.4</v>
      </c>
      <c r="E11" s="52">
        <f>75*1.9*4</f>
        <v>570</v>
      </c>
      <c r="F11" s="52">
        <f>49*1.9*4</f>
        <v>372.4</v>
      </c>
      <c r="G11" s="52">
        <v>0</v>
      </c>
      <c r="H11" s="52">
        <v>0</v>
      </c>
    </row>
    <row r="12" spans="1:8" ht="12">
      <c r="A12" s="51" t="s">
        <v>17</v>
      </c>
      <c r="B12" s="52">
        <f>65+47+(37+33+14+39)*1.06</f>
        <v>242.38</v>
      </c>
      <c r="C12" s="52">
        <f>65+47+(37+33+39+4+6)*1.06</f>
        <v>238.14</v>
      </c>
      <c r="D12" s="52">
        <f>65+47+(37+33+39+4+6)*1.06</f>
        <v>238.14</v>
      </c>
      <c r="E12" s="52">
        <f>65+47+(37+33+14+39+4+6)*1.06</f>
        <v>252.98000000000002</v>
      </c>
      <c r="F12" s="52">
        <f>65+47+(37+33+14+39+4+6)*1.06</f>
        <v>252.98000000000002</v>
      </c>
      <c r="G12" s="52">
        <f>65+47+(37+33+14+39+4+6)*1.06</f>
        <v>252.98000000000002</v>
      </c>
      <c r="H12" s="52">
        <f>65+47+(37+33+14+39+4+6)*1.06</f>
        <v>252.98000000000002</v>
      </c>
    </row>
    <row r="13" spans="1:8" ht="12">
      <c r="A13" s="51"/>
      <c r="B13" s="57"/>
      <c r="C13" s="57"/>
      <c r="D13" s="57"/>
      <c r="E13" s="57"/>
      <c r="F13" s="57"/>
      <c r="G13" s="57"/>
      <c r="H13" s="57"/>
    </row>
    <row r="14" spans="1:8" ht="12">
      <c r="A14" s="51" t="s">
        <v>18</v>
      </c>
      <c r="B14" s="52">
        <f aca="true" t="shared" si="0" ref="B14:H14">SUM(B7:B12)</f>
        <v>1515.2719166666666</v>
      </c>
      <c r="C14" s="52">
        <f t="shared" si="0"/>
        <v>2232.87075</v>
      </c>
      <c r="D14" s="52">
        <f t="shared" si="0"/>
        <v>2151.2439999999997</v>
      </c>
      <c r="E14" s="52">
        <f t="shared" si="0"/>
        <v>2453.858083333333</v>
      </c>
      <c r="F14" s="52">
        <f t="shared" si="0"/>
        <v>2379.231333333333</v>
      </c>
      <c r="G14" s="52">
        <f t="shared" si="0"/>
        <v>1883.8580833333333</v>
      </c>
      <c r="H14" s="52">
        <f t="shared" si="0"/>
        <v>2006.8313333333333</v>
      </c>
    </row>
    <row r="15" spans="1:8" ht="12">
      <c r="A15" s="51" t="s">
        <v>19</v>
      </c>
      <c r="B15" s="52">
        <f aca="true" t="shared" si="1" ref="B15:H15">B14*12</f>
        <v>18183.263</v>
      </c>
      <c r="C15" s="52">
        <f t="shared" si="1"/>
        <v>26794.449</v>
      </c>
      <c r="D15" s="52">
        <f t="shared" si="1"/>
        <v>25814.927999999996</v>
      </c>
      <c r="E15" s="52">
        <f t="shared" si="1"/>
        <v>29446.297</v>
      </c>
      <c r="F15" s="52">
        <f t="shared" si="1"/>
        <v>28550.775999999998</v>
      </c>
      <c r="G15" s="52">
        <f t="shared" si="1"/>
        <v>22606.297</v>
      </c>
      <c r="H15" s="52">
        <f t="shared" si="1"/>
        <v>24081.976</v>
      </c>
    </row>
    <row r="16" spans="1:8" ht="12">
      <c r="A16" s="51" t="s">
        <v>20</v>
      </c>
      <c r="B16" s="52">
        <v>2903.1510000000003</v>
      </c>
      <c r="C16" s="52">
        <v>-1234.63</v>
      </c>
      <c r="D16" s="52">
        <v>-1750.725</v>
      </c>
      <c r="E16" s="52">
        <v>-241.315</v>
      </c>
      <c r="F16" s="52">
        <v>-722.2030000000001</v>
      </c>
      <c r="G16" s="52">
        <v>-2873.821</v>
      </c>
      <c r="H16" s="52">
        <v>-2511.107</v>
      </c>
    </row>
    <row r="17" spans="1:8" ht="12">
      <c r="A17" s="51" t="s">
        <v>21</v>
      </c>
      <c r="B17" s="52">
        <v>21087</v>
      </c>
      <c r="C17" s="52">
        <v>25560</v>
      </c>
      <c r="D17" s="52">
        <v>24065</v>
      </c>
      <c r="E17" s="52">
        <v>29205</v>
      </c>
      <c r="F17" s="52">
        <v>27829</v>
      </c>
      <c r="G17" s="52">
        <v>19733</v>
      </c>
      <c r="H17" s="52">
        <v>21571</v>
      </c>
    </row>
    <row r="18" spans="1:8" ht="12">
      <c r="A18" s="51" t="s">
        <v>22</v>
      </c>
      <c r="B18" s="52">
        <f aca="true" t="shared" si="2" ref="B18:H18">B17/12</f>
        <v>1757.25</v>
      </c>
      <c r="C18" s="52">
        <f t="shared" si="2"/>
        <v>2130</v>
      </c>
      <c r="D18" s="52">
        <f t="shared" si="2"/>
        <v>2005.4166666666667</v>
      </c>
      <c r="E18" s="52">
        <f t="shared" si="2"/>
        <v>2433.75</v>
      </c>
      <c r="F18" s="52">
        <f t="shared" si="2"/>
        <v>2319.0833333333335</v>
      </c>
      <c r="G18" s="52">
        <f t="shared" si="2"/>
        <v>1644.4166666666667</v>
      </c>
      <c r="H18" s="52">
        <f t="shared" si="2"/>
        <v>1797.5833333333333</v>
      </c>
    </row>
    <row r="19" spans="1:8" ht="12">
      <c r="A19" s="51" t="s">
        <v>23</v>
      </c>
      <c r="B19" s="58">
        <f>B17/4000</f>
        <v>5.27175</v>
      </c>
      <c r="C19" s="58">
        <f>C17/2000</f>
        <v>12.78</v>
      </c>
      <c r="D19" s="58">
        <f>D17/2000</f>
        <v>12.0325</v>
      </c>
      <c r="E19" s="58">
        <f>E17/4000</f>
        <v>7.30125</v>
      </c>
      <c r="F19" s="58">
        <f>F17/4000</f>
        <v>6.95725</v>
      </c>
      <c r="G19" s="58">
        <f>G17/2000</f>
        <v>9.8665</v>
      </c>
      <c r="H19" s="58">
        <f>H17/2000</f>
        <v>10.7855</v>
      </c>
    </row>
    <row r="20" spans="1:8" ht="12">
      <c r="A20" s="51"/>
      <c r="B20" s="57"/>
      <c r="C20" s="57"/>
      <c r="D20" s="57"/>
      <c r="E20" s="57"/>
      <c r="F20" s="57"/>
      <c r="G20" s="57"/>
      <c r="H20" s="57"/>
    </row>
    <row r="21" spans="1:8" ht="12">
      <c r="A21" s="59" t="s">
        <v>24</v>
      </c>
      <c r="B21" s="60">
        <v>12649</v>
      </c>
      <c r="C21" s="60">
        <v>15219</v>
      </c>
      <c r="D21" s="60">
        <v>15219</v>
      </c>
      <c r="E21" s="60">
        <v>19157</v>
      </c>
      <c r="F21" s="60">
        <v>19157</v>
      </c>
      <c r="G21" s="60">
        <v>19157</v>
      </c>
      <c r="H21" s="60">
        <v>19157</v>
      </c>
    </row>
    <row r="22" spans="1:8" ht="12">
      <c r="A22" s="59" t="s">
        <v>25</v>
      </c>
      <c r="B22" s="61">
        <f aca="true" t="shared" si="3" ref="B22:H22">B17/B21</f>
        <v>1.6670883073760772</v>
      </c>
      <c r="C22" s="61">
        <f t="shared" si="3"/>
        <v>1.6794795978710821</v>
      </c>
      <c r="D22" s="61">
        <f t="shared" si="3"/>
        <v>1.5812471253038964</v>
      </c>
      <c r="E22" s="61">
        <f t="shared" si="3"/>
        <v>1.5245080127368587</v>
      </c>
      <c r="F22" s="61">
        <f t="shared" si="3"/>
        <v>1.4526804823302186</v>
      </c>
      <c r="G22" s="61">
        <f t="shared" si="3"/>
        <v>1.0300673383097563</v>
      </c>
      <c r="H22" s="61">
        <f t="shared" si="3"/>
        <v>1.1260113796523463</v>
      </c>
    </row>
    <row r="24" ht="12">
      <c r="A24" s="54" t="s">
        <v>26</v>
      </c>
    </row>
    <row r="25" ht="12">
      <c r="A25" s="54" t="s">
        <v>27</v>
      </c>
    </row>
    <row r="28" ht="12.75">
      <c r="A28" s="66" t="s">
        <v>70</v>
      </c>
    </row>
  </sheetData>
  <mergeCells count="1">
    <mergeCell ref="A4:A6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29" sqref="A29"/>
    </sheetView>
  </sheetViews>
  <sheetFormatPr defaultColWidth="9.140625" defaultRowHeight="12.75"/>
  <cols>
    <col min="1" max="1" width="32.00390625" style="4" customWidth="1"/>
    <col min="2" max="2" width="20.00390625" style="4" customWidth="1"/>
    <col min="3" max="3" width="28.8515625" style="4" customWidth="1"/>
    <col min="4" max="4" width="29.421875" style="4" customWidth="1"/>
    <col min="5" max="5" width="26.7109375" style="4" customWidth="1"/>
    <col min="6" max="6" width="29.00390625" style="4" customWidth="1"/>
    <col min="7" max="7" width="26.8515625" style="4" customWidth="1"/>
    <col min="8" max="8" width="28.8515625" style="4" customWidth="1"/>
    <col min="9" max="16384" width="9.140625" style="4" customWidth="1"/>
  </cols>
  <sheetData>
    <row r="1" s="71" customFormat="1" ht="20.25">
      <c r="A1" s="71" t="s">
        <v>0</v>
      </c>
    </row>
    <row r="2" s="72" customFormat="1" ht="12">
      <c r="A2" s="72" t="s">
        <v>1</v>
      </c>
    </row>
    <row r="3" s="73" customFormat="1" ht="12"/>
    <row r="4" spans="1:8" s="3" customFormat="1" ht="12">
      <c r="A4" s="68" t="s">
        <v>2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5</v>
      </c>
      <c r="G4" s="15" t="s">
        <v>6</v>
      </c>
      <c r="H4" s="15" t="s">
        <v>6</v>
      </c>
    </row>
    <row r="5" spans="1:8" s="3" customFormat="1" ht="13.5" customHeight="1">
      <c r="A5" s="69"/>
      <c r="B5" s="17" t="s">
        <v>7</v>
      </c>
      <c r="C5" s="17" t="s">
        <v>8</v>
      </c>
      <c r="D5" s="17" t="s">
        <v>8</v>
      </c>
      <c r="E5" s="17" t="s">
        <v>7</v>
      </c>
      <c r="F5" s="17" t="s">
        <v>7</v>
      </c>
      <c r="G5" s="17" t="s">
        <v>7</v>
      </c>
      <c r="H5" s="17" t="s">
        <v>7</v>
      </c>
    </row>
    <row r="6" spans="1:8" s="3" customFormat="1" ht="14.25" customHeight="1">
      <c r="A6" s="70"/>
      <c r="B6" s="18" t="s">
        <v>9</v>
      </c>
      <c r="C6" s="18" t="s">
        <v>10</v>
      </c>
      <c r="D6" s="18" t="s">
        <v>11</v>
      </c>
      <c r="E6" s="18" t="s">
        <v>10</v>
      </c>
      <c r="F6" s="18" t="s">
        <v>11</v>
      </c>
      <c r="G6" s="18" t="s">
        <v>10</v>
      </c>
      <c r="H6" s="18" t="s">
        <v>11</v>
      </c>
    </row>
    <row r="7" spans="1:8" s="22" customFormat="1" ht="12">
      <c r="A7" s="14" t="s">
        <v>12</v>
      </c>
      <c r="B7" s="19">
        <f>382.9*(1-0.0775)</f>
        <v>353.22524999999996</v>
      </c>
      <c r="C7" s="19">
        <f>(185.7+95.8+105.2)*(1-0.0775)</f>
        <v>356.73075</v>
      </c>
      <c r="D7" s="19">
        <f>(185.7+141.6+159.1)*(1-0.0775)</f>
        <v>448.70399999999995</v>
      </c>
      <c r="E7" s="19">
        <f>549.1*(1-0.0775)</f>
        <v>506.54475</v>
      </c>
      <c r="F7" s="19">
        <f>648.8*(1-0.0775)</f>
        <v>598.5179999999999</v>
      </c>
      <c r="G7" s="19">
        <f>549.1*(1-0.0775)</f>
        <v>506.54475</v>
      </c>
      <c r="H7" s="19">
        <f>648.8*(1-0.0775)</f>
        <v>598.5179999999999</v>
      </c>
    </row>
    <row r="8" spans="1:8" s="22" customFormat="1" ht="12">
      <c r="A8" s="14" t="s">
        <v>13</v>
      </c>
      <c r="B8" s="19">
        <v>520</v>
      </c>
      <c r="C8" s="19">
        <v>634</v>
      </c>
      <c r="D8" s="19">
        <v>634</v>
      </c>
      <c r="E8" s="19">
        <v>634</v>
      </c>
      <c r="F8" s="19">
        <v>634</v>
      </c>
      <c r="G8" s="19">
        <v>634</v>
      </c>
      <c r="H8" s="19">
        <v>634</v>
      </c>
    </row>
    <row r="9" spans="1:8" s="22" customFormat="1" ht="12">
      <c r="A9" s="14" t="s">
        <v>14</v>
      </c>
      <c r="B9" s="19">
        <f>103+(80/12)</f>
        <v>109.66666666666667</v>
      </c>
      <c r="C9" s="19">
        <f>127+(180/12)</f>
        <v>142</v>
      </c>
      <c r="D9" s="19">
        <f>145+(180/12)</f>
        <v>160</v>
      </c>
      <c r="E9" s="19">
        <f>167+(220/12)</f>
        <v>185.33333333333334</v>
      </c>
      <c r="F9" s="19">
        <f>190+(220/12)</f>
        <v>208.33333333333334</v>
      </c>
      <c r="G9" s="19">
        <f>167+(220/12)</f>
        <v>185.33333333333334</v>
      </c>
      <c r="H9" s="19">
        <f>190+(220/12)</f>
        <v>208.33333333333334</v>
      </c>
    </row>
    <row r="10" spans="1:8" s="22" customFormat="1" ht="12">
      <c r="A10" s="14" t="s">
        <v>15</v>
      </c>
      <c r="B10" s="19">
        <f>250+115+42</f>
        <v>407</v>
      </c>
      <c r="C10" s="19">
        <f>250+105+49</f>
        <v>404</v>
      </c>
      <c r="D10" s="19">
        <f>250+115+45</f>
        <v>410</v>
      </c>
      <c r="E10" s="19">
        <f>250+125+42</f>
        <v>417</v>
      </c>
      <c r="F10" s="19">
        <f>250+134+41</f>
        <v>425</v>
      </c>
      <c r="G10" s="19">
        <f>250+125+42</f>
        <v>417</v>
      </c>
      <c r="H10" s="19">
        <f>250+134+41</f>
        <v>425</v>
      </c>
    </row>
    <row r="11" spans="1:8" s="22" customFormat="1" ht="12">
      <c r="A11" s="14" t="s">
        <v>16</v>
      </c>
      <c r="B11" s="19">
        <v>0</v>
      </c>
      <c r="C11" s="19">
        <f>95*1.9*4</f>
        <v>722</v>
      </c>
      <c r="D11" s="19">
        <f>75*1.9*4</f>
        <v>570</v>
      </c>
      <c r="E11" s="19">
        <f>95*1.9*4</f>
        <v>722</v>
      </c>
      <c r="F11" s="19">
        <f>75*1.9*4</f>
        <v>570</v>
      </c>
      <c r="G11" s="19">
        <v>0</v>
      </c>
      <c r="H11" s="19">
        <v>0</v>
      </c>
    </row>
    <row r="12" spans="1:8" s="22" customFormat="1" ht="12">
      <c r="A12" s="25" t="s">
        <v>17</v>
      </c>
      <c r="B12" s="26">
        <f>65+47+(37+33+14+39)*1.06</f>
        <v>242.38</v>
      </c>
      <c r="C12" s="26">
        <f>65+47+(37+33+39+4+6)*1.06</f>
        <v>238.14</v>
      </c>
      <c r="D12" s="26">
        <f>65+47+(37+33+39+4+6)*1.06</f>
        <v>238.14</v>
      </c>
      <c r="E12" s="26">
        <f>65+47+(37+33+14+39+4+6)*1.06</f>
        <v>252.98000000000002</v>
      </c>
      <c r="F12" s="26">
        <f>65+47+(37+33+14+39+4+6)*1.06</f>
        <v>252.98000000000002</v>
      </c>
      <c r="G12" s="26">
        <f>65+47+(37+33+14+39+4+6)*1.06</f>
        <v>252.98000000000002</v>
      </c>
      <c r="H12" s="26">
        <f>65+47+(37+33+14+39+4+6)*1.06</f>
        <v>252.98000000000002</v>
      </c>
    </row>
    <row r="13" spans="1:8" s="24" customFormat="1" ht="12">
      <c r="A13" s="27"/>
      <c r="B13" s="27"/>
      <c r="C13" s="27"/>
      <c r="D13" s="27"/>
      <c r="E13" s="27"/>
      <c r="F13" s="27"/>
      <c r="G13" s="27"/>
      <c r="H13" s="27"/>
    </row>
    <row r="14" spans="1:8" s="22" customFormat="1" ht="12">
      <c r="A14" s="14" t="s">
        <v>18</v>
      </c>
      <c r="B14" s="19">
        <f aca="true" t="shared" si="0" ref="B14:H14">SUM(B7:B12)</f>
        <v>1632.2719166666666</v>
      </c>
      <c r="C14" s="19">
        <f t="shared" si="0"/>
        <v>2496.8707499999996</v>
      </c>
      <c r="D14" s="19">
        <f t="shared" si="0"/>
        <v>2460.8439999999996</v>
      </c>
      <c r="E14" s="19">
        <f t="shared" si="0"/>
        <v>2717.858083333333</v>
      </c>
      <c r="F14" s="19">
        <f t="shared" si="0"/>
        <v>2688.831333333333</v>
      </c>
      <c r="G14" s="19">
        <f t="shared" si="0"/>
        <v>1995.8580833333333</v>
      </c>
      <c r="H14" s="19">
        <f t="shared" si="0"/>
        <v>2118.8313333333335</v>
      </c>
    </row>
    <row r="15" spans="1:8" s="22" customFormat="1" ht="12">
      <c r="A15" s="14" t="s">
        <v>19</v>
      </c>
      <c r="B15" s="19">
        <f aca="true" t="shared" si="1" ref="B15:H15">B14*12</f>
        <v>19587.263</v>
      </c>
      <c r="C15" s="19">
        <f t="shared" si="1"/>
        <v>29962.448999999993</v>
      </c>
      <c r="D15" s="19">
        <f t="shared" si="1"/>
        <v>29530.127999999997</v>
      </c>
      <c r="E15" s="19">
        <f t="shared" si="1"/>
        <v>32614.297</v>
      </c>
      <c r="F15" s="19">
        <f t="shared" si="1"/>
        <v>32265.975999999995</v>
      </c>
      <c r="G15" s="19">
        <f t="shared" si="1"/>
        <v>23950.297</v>
      </c>
      <c r="H15" s="19">
        <f t="shared" si="1"/>
        <v>25425.976000000002</v>
      </c>
    </row>
    <row r="16" spans="1:8" s="22" customFormat="1" ht="12">
      <c r="A16" s="14" t="s">
        <v>20</v>
      </c>
      <c r="B16" s="19">
        <v>3247.1175000000003</v>
      </c>
      <c r="C16" s="19">
        <v>357.36</v>
      </c>
      <c r="D16" s="19">
        <v>133.09199999999987</v>
      </c>
      <c r="E16" s="19">
        <v>1329.9925</v>
      </c>
      <c r="F16" s="19">
        <v>1155.6709999999998</v>
      </c>
      <c r="G16" s="19">
        <v>-2579.9044999999996</v>
      </c>
      <c r="H16" s="19">
        <v>-2231.9725</v>
      </c>
    </row>
    <row r="17" spans="1:8" s="22" customFormat="1" ht="12">
      <c r="A17" s="14" t="s">
        <v>21</v>
      </c>
      <c r="B17" s="19">
        <v>22835</v>
      </c>
      <c r="C17" s="19">
        <v>30320</v>
      </c>
      <c r="D17" s="19">
        <v>29664</v>
      </c>
      <c r="E17" s="19">
        <v>33945</v>
      </c>
      <c r="F17" s="19">
        <v>33422</v>
      </c>
      <c r="G17" s="19">
        <v>21371</v>
      </c>
      <c r="H17" s="19">
        <v>23195</v>
      </c>
    </row>
    <row r="18" spans="1:8" s="22" customFormat="1" ht="12">
      <c r="A18" s="14" t="s">
        <v>22</v>
      </c>
      <c r="B18" s="19">
        <f aca="true" t="shared" si="2" ref="B18:H18">B17/12</f>
        <v>1902.9166666666667</v>
      </c>
      <c r="C18" s="19">
        <f t="shared" si="2"/>
        <v>2526.6666666666665</v>
      </c>
      <c r="D18" s="19">
        <f t="shared" si="2"/>
        <v>2472</v>
      </c>
      <c r="E18" s="19">
        <f t="shared" si="2"/>
        <v>2828.75</v>
      </c>
      <c r="F18" s="19">
        <f t="shared" si="2"/>
        <v>2785.1666666666665</v>
      </c>
      <c r="G18" s="19">
        <f t="shared" si="2"/>
        <v>1780.9166666666667</v>
      </c>
      <c r="H18" s="19">
        <f t="shared" si="2"/>
        <v>1932.9166666666667</v>
      </c>
    </row>
    <row r="19" spans="1:8" s="22" customFormat="1" ht="12">
      <c r="A19" s="25" t="s">
        <v>23</v>
      </c>
      <c r="B19" s="28">
        <f>B17/4000</f>
        <v>5.70875</v>
      </c>
      <c r="C19" s="28">
        <f>C17/2000</f>
        <v>15.16</v>
      </c>
      <c r="D19" s="28">
        <f>D17/2000</f>
        <v>14.832</v>
      </c>
      <c r="E19" s="28">
        <f>E17/4000</f>
        <v>8.48625</v>
      </c>
      <c r="F19" s="28">
        <f>F17/4000</f>
        <v>8.3555</v>
      </c>
      <c r="G19" s="28">
        <f>G17/2000</f>
        <v>10.6855</v>
      </c>
      <c r="H19" s="28">
        <f>H17/2000</f>
        <v>11.5975</v>
      </c>
    </row>
    <row r="20" spans="1:8" s="24" customFormat="1" ht="12">
      <c r="A20" s="27"/>
      <c r="B20" s="27"/>
      <c r="C20" s="27"/>
      <c r="D20" s="27"/>
      <c r="E20" s="27"/>
      <c r="F20" s="27"/>
      <c r="G20" s="27"/>
      <c r="H20" s="27"/>
    </row>
    <row r="21" spans="1:8" s="22" customFormat="1" ht="12">
      <c r="A21" s="14" t="s">
        <v>24</v>
      </c>
      <c r="B21" s="34">
        <v>12649</v>
      </c>
      <c r="C21" s="34">
        <v>15219</v>
      </c>
      <c r="D21" s="34">
        <v>15219</v>
      </c>
      <c r="E21" s="34">
        <v>19157</v>
      </c>
      <c r="F21" s="34">
        <v>19157</v>
      </c>
      <c r="G21" s="34">
        <v>19157</v>
      </c>
      <c r="H21" s="34">
        <v>19157</v>
      </c>
    </row>
    <row r="22" spans="1:8" s="22" customFormat="1" ht="12">
      <c r="A22" s="14" t="s">
        <v>25</v>
      </c>
      <c r="B22" s="33">
        <f aca="true" t="shared" si="3" ref="B22:H22">B17/B21</f>
        <v>1.8052810498853664</v>
      </c>
      <c r="C22" s="33">
        <f t="shared" si="3"/>
        <v>1.9922465339378408</v>
      </c>
      <c r="D22" s="33">
        <f t="shared" si="3"/>
        <v>1.9491425192193967</v>
      </c>
      <c r="E22" s="33">
        <f t="shared" si="3"/>
        <v>1.771937150910894</v>
      </c>
      <c r="F22" s="33">
        <f t="shared" si="3"/>
        <v>1.7446364253275566</v>
      </c>
      <c r="G22" s="33">
        <f t="shared" si="3"/>
        <v>1.1155713316281255</v>
      </c>
      <c r="H22" s="33">
        <f t="shared" si="3"/>
        <v>1.2107845696090203</v>
      </c>
    </row>
    <row r="23" s="67" customFormat="1" ht="12"/>
    <row r="24" ht="12">
      <c r="A24" s="4" t="s">
        <v>26</v>
      </c>
    </row>
    <row r="25" ht="12">
      <c r="A25" s="4" t="s">
        <v>27</v>
      </c>
    </row>
    <row r="26" s="12" customFormat="1" ht="12" customHeight="1"/>
    <row r="27" s="12" customFormat="1" ht="12" customHeight="1"/>
    <row r="28" s="12" customFormat="1" ht="12" customHeight="1"/>
    <row r="29" s="12" customFormat="1" ht="12" customHeight="1">
      <c r="A29" s="65" t="s">
        <v>70</v>
      </c>
    </row>
    <row r="30" s="12" customFormat="1" ht="12" customHeight="1"/>
    <row r="31" s="12" customFormat="1" ht="12" customHeight="1"/>
    <row r="32" s="12" customFormat="1" ht="12" customHeight="1"/>
    <row r="33" s="12" customFormat="1" ht="12" customHeight="1"/>
    <row r="34" s="12" customFormat="1" ht="12" customHeight="1"/>
    <row r="35" s="12" customFormat="1" ht="12" customHeight="1"/>
    <row r="36" s="12" customFormat="1" ht="12" customHeight="1"/>
    <row r="37" s="12" customFormat="1" ht="12" customHeight="1"/>
    <row r="38" s="12" customFormat="1" ht="12" customHeight="1"/>
    <row r="39" s="12" customFormat="1" ht="12" customHeight="1"/>
    <row r="40" s="12" customFormat="1" ht="12" customHeight="1"/>
    <row r="41" s="12" customFormat="1" ht="12" customHeight="1"/>
    <row r="42" s="12" customFormat="1" ht="12" customHeight="1"/>
    <row r="43" s="12" customFormat="1" ht="12" customHeight="1"/>
    <row r="44" s="12" customFormat="1" ht="12" customHeight="1"/>
    <row r="45" s="12" customFormat="1" ht="12" customHeight="1"/>
    <row r="46" s="12" customFormat="1" ht="12" customHeight="1"/>
    <row r="47" s="12" customFormat="1" ht="12" customHeight="1"/>
    <row r="48" s="12" customFormat="1" ht="12" customHeight="1"/>
    <row r="49" s="12" customFormat="1" ht="12" customHeight="1"/>
    <row r="50" s="12" customFormat="1" ht="12" customHeight="1"/>
    <row r="51" s="12" customFormat="1" ht="12" customHeight="1"/>
    <row r="52" s="12" customFormat="1" ht="12" customHeight="1"/>
    <row r="53" s="12" customFormat="1" ht="12" customHeight="1"/>
    <row r="54" s="12" customFormat="1" ht="12" customHeight="1"/>
    <row r="55" s="12" customFormat="1" ht="12" customHeight="1"/>
    <row r="56" s="12" customFormat="1" ht="12" customHeight="1"/>
    <row r="57" s="12" customFormat="1" ht="12" customHeight="1"/>
    <row r="58" s="12" customFormat="1" ht="12" customHeight="1"/>
    <row r="59" s="12" customFormat="1" ht="12" customHeight="1"/>
    <row r="60" s="12" customFormat="1" ht="12" customHeight="1"/>
    <row r="61" s="12" customFormat="1" ht="12" customHeight="1"/>
    <row r="62" s="12" customFormat="1" ht="12" customHeight="1"/>
    <row r="63" s="12" customFormat="1" ht="12" customHeight="1"/>
    <row r="64" s="12" customFormat="1" ht="12" customHeight="1"/>
    <row r="65" s="12" customFormat="1" ht="12" customHeight="1"/>
    <row r="66" s="12" customFormat="1" ht="12" customHeight="1"/>
    <row r="67" s="12" customFormat="1" ht="12" customHeight="1"/>
    <row r="68" s="12" customFormat="1" ht="12" customHeight="1"/>
    <row r="69" s="12" customFormat="1" ht="12" customHeight="1"/>
    <row r="70" s="12" customFormat="1" ht="12" customHeight="1"/>
    <row r="71" s="12" customFormat="1" ht="12" customHeight="1"/>
    <row r="72" s="12" customFormat="1" ht="12" customHeight="1"/>
    <row r="73" s="12" customFormat="1" ht="12" customHeight="1"/>
    <row r="74" s="12" customFormat="1" ht="12" customHeight="1"/>
    <row r="75" s="12" customFormat="1" ht="12" customHeight="1"/>
    <row r="76" s="12" customFormat="1" ht="12" customHeight="1"/>
    <row r="77" s="12" customFormat="1" ht="12" customHeight="1"/>
    <row r="78" s="12" customFormat="1" ht="12" customHeight="1"/>
    <row r="79" s="12" customFormat="1" ht="12" customHeight="1"/>
    <row r="80" s="12" customFormat="1" ht="12" customHeight="1"/>
    <row r="81" s="12" customFormat="1" ht="12" customHeight="1"/>
    <row r="82" s="12" customFormat="1" ht="12" customHeight="1"/>
    <row r="83" s="12" customFormat="1" ht="12" customHeight="1"/>
    <row r="84" s="12" customFormat="1" ht="12" customHeight="1"/>
    <row r="85" s="12" customFormat="1" ht="12" customHeight="1"/>
    <row r="86" s="12" customFormat="1" ht="12" customHeight="1"/>
    <row r="87" s="12" customFormat="1" ht="12" customHeight="1"/>
    <row r="88" s="12" customFormat="1" ht="12" customHeight="1"/>
    <row r="89" s="12" customFormat="1" ht="12" customHeight="1"/>
    <row r="90" s="12" customFormat="1" ht="12" customHeight="1"/>
    <row r="91" s="12" customFormat="1" ht="12" customHeight="1"/>
    <row r="92" s="12" customFormat="1" ht="12" customHeight="1"/>
    <row r="93" s="12" customFormat="1" ht="12" customHeight="1"/>
    <row r="94" s="12" customFormat="1" ht="12" customHeight="1"/>
    <row r="95" s="12" customFormat="1" ht="12" customHeight="1"/>
    <row r="96" s="12" customFormat="1" ht="12" customHeight="1"/>
    <row r="97" s="12" customFormat="1" ht="12" customHeight="1"/>
    <row r="98" s="12" customFormat="1" ht="12" customHeight="1"/>
    <row r="99" s="12" customFormat="1" ht="12" customHeight="1"/>
    <row r="100" s="12" customFormat="1" ht="12" customHeight="1"/>
    <row r="101" s="12" customFormat="1" ht="12" customHeight="1"/>
    <row r="102" s="12" customFormat="1" ht="12" customHeight="1"/>
    <row r="103" s="12" customFormat="1" ht="12" customHeight="1"/>
    <row r="104" s="12" customFormat="1" ht="12" customHeight="1"/>
    <row r="105" s="12" customFormat="1" ht="12" customHeight="1"/>
    <row r="106" s="12" customFormat="1" ht="12" customHeight="1"/>
    <row r="107" s="12" customFormat="1" ht="12" customHeight="1"/>
    <row r="108" s="12" customFormat="1" ht="12" customHeight="1"/>
    <row r="109" s="12" customFormat="1" ht="12" customHeight="1"/>
    <row r="110" s="12" customFormat="1" ht="12" customHeight="1"/>
    <row r="111" s="12" customFormat="1" ht="12" customHeight="1"/>
    <row r="112" s="12" customFormat="1" ht="12" customHeight="1"/>
    <row r="113" s="12" customFormat="1" ht="12" customHeight="1"/>
    <row r="114" s="12" customFormat="1" ht="12" customHeight="1"/>
    <row r="115" s="12" customFormat="1" ht="12" customHeight="1"/>
    <row r="116" s="12" customFormat="1" ht="12" customHeight="1"/>
    <row r="117" s="12" customFormat="1" ht="12" customHeight="1"/>
    <row r="118" s="12" customFormat="1" ht="12" customHeight="1"/>
    <row r="119" s="12" customFormat="1" ht="12" customHeight="1"/>
    <row r="120" s="12" customFormat="1" ht="12" customHeight="1"/>
    <row r="121" s="12" customFormat="1" ht="12" customHeight="1"/>
    <row r="122" s="12" customFormat="1" ht="12" customHeight="1"/>
    <row r="123" s="12" customFormat="1" ht="12" customHeight="1"/>
    <row r="124" s="12" customFormat="1" ht="12" customHeight="1"/>
    <row r="125" s="12" customFormat="1" ht="12" customHeight="1"/>
    <row r="126" s="12" customFormat="1" ht="12" customHeight="1"/>
    <row r="127" s="12" customFormat="1" ht="12" customHeight="1"/>
    <row r="128" s="12" customFormat="1" ht="12" customHeight="1"/>
    <row r="129" s="12" customFormat="1" ht="12" customHeight="1"/>
    <row r="130" s="12" customFormat="1" ht="12" customHeight="1"/>
    <row r="131" s="12" customFormat="1" ht="12" customHeight="1"/>
    <row r="132" s="12" customFormat="1" ht="12" customHeight="1"/>
    <row r="133" s="12" customFormat="1" ht="12" customHeight="1"/>
    <row r="134" s="12" customFormat="1" ht="12" customHeight="1"/>
    <row r="135" s="12" customFormat="1" ht="12" customHeight="1"/>
    <row r="136" s="12" customFormat="1" ht="12" customHeight="1"/>
    <row r="137" s="12" customFormat="1" ht="12" customHeight="1"/>
    <row r="138" s="12" customFormat="1" ht="12" customHeight="1"/>
    <row r="139" s="12" customFormat="1" ht="12" customHeight="1"/>
    <row r="140" s="12" customFormat="1" ht="12" customHeight="1"/>
    <row r="141" s="12" customFormat="1" ht="12" customHeight="1"/>
    <row r="142" s="12" customFormat="1" ht="12" customHeight="1"/>
    <row r="143" s="12" customFormat="1" ht="12" customHeight="1"/>
    <row r="144" s="12" customFormat="1" ht="12" customHeight="1"/>
    <row r="145" s="12" customFormat="1" ht="12" customHeight="1"/>
    <row r="146" s="12" customFormat="1" ht="12" customHeight="1"/>
    <row r="147" s="12" customFormat="1" ht="12" customHeight="1"/>
    <row r="148" s="12" customFormat="1" ht="12" customHeight="1"/>
    <row r="149" s="12" customFormat="1" ht="12" customHeight="1"/>
    <row r="150" s="12" customFormat="1" ht="12" customHeight="1"/>
    <row r="151" s="12" customFormat="1" ht="12" customHeight="1"/>
    <row r="152" s="12" customFormat="1" ht="12" customHeight="1"/>
    <row r="153" s="12" customFormat="1" ht="12" customHeight="1"/>
    <row r="154" s="12" customFormat="1" ht="12" customHeight="1"/>
    <row r="155" s="12" customFormat="1" ht="12" customHeight="1"/>
    <row r="156" s="12" customFormat="1" ht="12" customHeight="1"/>
    <row r="157" s="12" customFormat="1" ht="12" customHeight="1"/>
    <row r="158" s="12" customFormat="1" ht="12" customHeight="1"/>
    <row r="159" s="12" customFormat="1" ht="12" customHeight="1"/>
    <row r="160" s="12" customFormat="1" ht="12" customHeight="1"/>
    <row r="161" s="12" customFormat="1" ht="12" customHeight="1"/>
    <row r="162" s="12" customFormat="1" ht="12" customHeight="1"/>
    <row r="163" s="12" customFormat="1" ht="12" customHeight="1"/>
    <row r="164" s="12" customFormat="1" ht="12" customHeight="1"/>
    <row r="165" s="12" customFormat="1" ht="12" customHeight="1"/>
    <row r="166" s="12" customFormat="1" ht="12" customHeight="1"/>
    <row r="167" s="12" customFormat="1" ht="12" customHeight="1"/>
    <row r="168" s="12" customFormat="1" ht="12" customHeight="1"/>
    <row r="169" s="12" customFormat="1" ht="12" customHeight="1"/>
    <row r="170" s="12" customFormat="1" ht="12" customHeight="1"/>
    <row r="171" s="12" customFormat="1" ht="12" customHeight="1"/>
    <row r="172" s="12" customFormat="1" ht="12" customHeight="1"/>
    <row r="173" s="12" customFormat="1" ht="12" customHeight="1"/>
    <row r="174" s="12" customFormat="1" ht="12" customHeight="1"/>
    <row r="175" s="12" customFormat="1" ht="12" customHeight="1"/>
    <row r="176" s="12" customFormat="1" ht="12" customHeight="1"/>
    <row r="177" s="12" customFormat="1" ht="12" customHeight="1"/>
    <row r="178" s="12" customFormat="1" ht="12" customHeight="1"/>
    <row r="179" s="12" customFormat="1" ht="12" customHeight="1"/>
    <row r="180" s="12" customFormat="1" ht="12" customHeight="1"/>
    <row r="181" s="12" customFormat="1" ht="12" customHeight="1"/>
    <row r="182" s="12" customFormat="1" ht="12" customHeight="1"/>
    <row r="183" s="12" customFormat="1" ht="12" customHeight="1"/>
    <row r="184" s="12" customFormat="1" ht="12" customHeight="1"/>
    <row r="185" s="12" customFormat="1" ht="12" customHeight="1"/>
    <row r="186" s="12" customFormat="1" ht="12" customHeight="1"/>
    <row r="187" s="12" customFormat="1" ht="12" customHeight="1"/>
    <row r="188" s="12" customFormat="1" ht="12" customHeight="1"/>
    <row r="189" s="12" customFormat="1" ht="12" customHeight="1"/>
    <row r="190" s="12" customFormat="1" ht="12" customHeight="1"/>
    <row r="191" s="12" customFormat="1" ht="12" customHeight="1"/>
    <row r="192" s="12" customFormat="1" ht="12" customHeight="1"/>
    <row r="193" s="12" customFormat="1" ht="12" customHeight="1"/>
    <row r="194" s="12" customFormat="1" ht="12" customHeight="1"/>
    <row r="195" s="12" customFormat="1" ht="12" customHeight="1"/>
    <row r="196" s="12" customFormat="1" ht="12" customHeight="1"/>
    <row r="197" s="12" customFormat="1" ht="12" customHeight="1"/>
    <row r="198" s="12" customFormat="1" ht="12" customHeight="1"/>
    <row r="199" s="12" customFormat="1" ht="12" customHeight="1"/>
    <row r="200" s="12" customFormat="1" ht="12" customHeight="1"/>
    <row r="201" s="12" customFormat="1" ht="12" customHeight="1"/>
    <row r="202" s="12" customFormat="1" ht="12" customHeight="1"/>
    <row r="203" s="12" customFormat="1" ht="12" customHeight="1"/>
    <row r="204" s="12" customFormat="1" ht="12" customHeight="1"/>
    <row r="205" s="12" customFormat="1" ht="12" customHeight="1"/>
    <row r="206" s="12" customFormat="1" ht="12" customHeight="1"/>
    <row r="207" s="12" customFormat="1" ht="12" customHeight="1"/>
    <row r="208" s="12" customFormat="1" ht="12" customHeight="1"/>
    <row r="209" s="12" customFormat="1" ht="12" customHeight="1"/>
    <row r="210" s="12" customFormat="1" ht="12" customHeight="1"/>
    <row r="211" s="12" customFormat="1" ht="12" customHeight="1"/>
    <row r="212" s="12" customFormat="1" ht="12" customHeight="1"/>
    <row r="213" s="12" customFormat="1" ht="12" customHeight="1"/>
    <row r="214" s="12" customFormat="1" ht="12" customHeight="1"/>
    <row r="215" s="12" customFormat="1" ht="12" customHeight="1"/>
    <row r="216" s="12" customFormat="1" ht="12" customHeight="1"/>
    <row r="217" s="12" customFormat="1" ht="12" customHeight="1"/>
    <row r="218" s="12" customFormat="1" ht="12" customHeight="1"/>
    <row r="219" s="12" customFormat="1" ht="12" customHeight="1"/>
    <row r="220" s="12" customFormat="1" ht="12" customHeight="1"/>
    <row r="221" s="12" customFormat="1" ht="12" customHeight="1"/>
    <row r="222" s="12" customFormat="1" ht="12" customHeight="1"/>
    <row r="223" s="12" customFormat="1" ht="12" customHeight="1"/>
    <row r="224" s="12" customFormat="1" ht="12" customHeight="1"/>
    <row r="225" s="12" customFormat="1" ht="12" customHeight="1"/>
    <row r="226" s="12" customFormat="1" ht="12" customHeight="1"/>
    <row r="227" s="12" customFormat="1" ht="12" customHeight="1"/>
    <row r="228" s="12" customFormat="1" ht="12" customHeight="1"/>
    <row r="229" s="12" customFormat="1" ht="12" customHeight="1"/>
    <row r="230" s="12" customFormat="1" ht="12" customHeight="1"/>
    <row r="231" s="12" customFormat="1" ht="12" customHeight="1"/>
    <row r="232" s="12" customFormat="1" ht="12" customHeight="1"/>
    <row r="233" s="12" customFormat="1" ht="12" customHeight="1"/>
    <row r="234" s="12" customFormat="1" ht="12" customHeight="1"/>
    <row r="235" s="12" customFormat="1" ht="12" customHeight="1"/>
    <row r="236" s="12" customFormat="1" ht="12" customHeight="1"/>
    <row r="237" s="12" customFormat="1" ht="12" customHeight="1"/>
    <row r="238" s="12" customFormat="1" ht="12" customHeight="1"/>
    <row r="239" s="12" customFormat="1" ht="12" customHeight="1"/>
    <row r="240" s="12" customFormat="1" ht="12" customHeight="1"/>
    <row r="241" s="12" customFormat="1" ht="12" customHeight="1"/>
    <row r="242" s="12" customFormat="1" ht="12" customHeight="1"/>
    <row r="243" s="12" customFormat="1" ht="12" customHeight="1"/>
    <row r="244" s="12" customFormat="1" ht="12" customHeight="1"/>
    <row r="245" s="12" customFormat="1" ht="12" customHeight="1"/>
    <row r="246" s="12" customFormat="1" ht="12" customHeight="1"/>
    <row r="247" s="12" customFormat="1" ht="12" customHeight="1"/>
    <row r="248" s="12" customFormat="1" ht="12" customHeight="1"/>
    <row r="249" s="12" customFormat="1" ht="12" customHeight="1"/>
    <row r="250" s="12" customFormat="1" ht="12" customHeight="1"/>
    <row r="251" s="12" customFormat="1" ht="12" customHeight="1"/>
    <row r="252" s="12" customFormat="1" ht="12" customHeight="1"/>
    <row r="253" s="12" customFormat="1" ht="12" customHeight="1"/>
    <row r="254" s="12" customFormat="1" ht="12" customHeight="1"/>
    <row r="255" s="12" customFormat="1" ht="12" customHeight="1"/>
    <row r="256" s="12" customFormat="1" ht="12" customHeight="1"/>
    <row r="257" s="12" customFormat="1" ht="12" customHeight="1"/>
    <row r="258" s="12" customFormat="1" ht="12" customHeight="1"/>
    <row r="259" s="12" customFormat="1" ht="12" customHeight="1"/>
    <row r="260" s="12" customFormat="1" ht="12" customHeight="1"/>
    <row r="261" s="12" customFormat="1" ht="12" customHeight="1"/>
    <row r="262" s="12" customFormat="1" ht="12" customHeight="1"/>
    <row r="263" s="12" customFormat="1" ht="12" customHeight="1"/>
    <row r="264" s="12" customFormat="1" ht="12" customHeight="1"/>
    <row r="265" s="12" customFormat="1" ht="12" customHeight="1"/>
    <row r="266" s="12" customFormat="1" ht="12" customHeight="1"/>
    <row r="267" s="12" customFormat="1" ht="12" customHeight="1"/>
    <row r="268" s="12" customFormat="1" ht="12" customHeight="1"/>
    <row r="269" s="12" customFormat="1" ht="12" customHeight="1"/>
    <row r="270" s="12" customFormat="1" ht="12" customHeight="1"/>
    <row r="271" s="12" customFormat="1" ht="12" customHeight="1"/>
    <row r="272" s="12" customFormat="1" ht="12" customHeight="1"/>
    <row r="273" s="12" customFormat="1" ht="12" customHeight="1"/>
    <row r="274" s="12" customFormat="1" ht="12" customHeight="1"/>
    <row r="275" s="12" customFormat="1" ht="12" customHeight="1"/>
    <row r="276" s="12" customFormat="1" ht="12" customHeight="1"/>
    <row r="277" s="12" customFormat="1" ht="12" customHeight="1"/>
    <row r="278" s="12" customFormat="1" ht="12" customHeight="1"/>
    <row r="279" s="12" customFormat="1" ht="12" customHeight="1"/>
    <row r="280" s="12" customFormat="1" ht="12" customHeight="1"/>
    <row r="281" s="12" customFormat="1" ht="12" customHeight="1"/>
    <row r="282" s="12" customFormat="1" ht="12" customHeight="1"/>
    <row r="283" s="12" customFormat="1" ht="12" customHeight="1"/>
    <row r="284" s="12" customFormat="1" ht="12" customHeight="1"/>
    <row r="285" s="12" customFormat="1" ht="12" customHeight="1"/>
    <row r="286" s="12" customFormat="1" ht="12" customHeight="1"/>
    <row r="287" s="12" customFormat="1" ht="12" customHeight="1"/>
    <row r="288" s="12" customFormat="1" ht="12" customHeight="1"/>
    <row r="289" s="12" customFormat="1" ht="12" customHeight="1"/>
    <row r="290" s="12" customFormat="1" ht="12" customHeight="1"/>
    <row r="291" s="12" customFormat="1" ht="12" customHeight="1"/>
    <row r="292" s="12" customFormat="1" ht="12" customHeight="1"/>
    <row r="293" s="12" customFormat="1" ht="12" customHeight="1"/>
    <row r="294" s="12" customFormat="1" ht="12" customHeight="1"/>
    <row r="295" s="12" customFormat="1" ht="12" customHeight="1"/>
    <row r="296" s="12" customFormat="1" ht="12" customHeight="1"/>
    <row r="297" s="12" customFormat="1" ht="12" customHeight="1"/>
    <row r="298" s="12" customFormat="1" ht="12" customHeight="1"/>
    <row r="299" s="12" customFormat="1" ht="12" customHeight="1"/>
    <row r="300" s="12" customFormat="1" ht="12" customHeight="1"/>
    <row r="301" s="12" customFormat="1" ht="12" customHeight="1"/>
    <row r="302" s="12" customFormat="1" ht="12" customHeight="1"/>
    <row r="303" s="12" customFormat="1" ht="12" customHeight="1"/>
    <row r="304" s="12" customFormat="1" ht="12" customHeight="1"/>
    <row r="305" s="12" customFormat="1" ht="12" customHeight="1"/>
    <row r="306" s="12" customFormat="1" ht="12" customHeight="1"/>
    <row r="307" s="12" customFormat="1" ht="12" customHeight="1"/>
    <row r="308" s="12" customFormat="1" ht="12" customHeight="1"/>
    <row r="309" s="12" customFormat="1" ht="12" customHeight="1"/>
    <row r="310" s="12" customFormat="1" ht="12" customHeight="1"/>
    <row r="311" s="12" customFormat="1" ht="12" customHeight="1"/>
    <row r="312" s="12" customFormat="1" ht="12" customHeight="1"/>
    <row r="313" s="12" customFormat="1" ht="12" customHeight="1"/>
    <row r="314" s="12" customFormat="1" ht="12" customHeight="1"/>
    <row r="315" s="12" customFormat="1" ht="12" customHeight="1"/>
    <row r="316" s="12" customFormat="1" ht="12" customHeight="1"/>
    <row r="317" s="12" customFormat="1" ht="12" customHeight="1"/>
    <row r="318" s="12" customFormat="1" ht="12" customHeight="1"/>
    <row r="319" s="12" customFormat="1" ht="12" customHeight="1"/>
    <row r="320" s="12" customFormat="1" ht="12" customHeight="1"/>
    <row r="321" s="12" customFormat="1" ht="12" customHeight="1"/>
    <row r="322" s="12" customFormat="1" ht="12" customHeight="1"/>
    <row r="323" s="12" customFormat="1" ht="12" customHeight="1"/>
    <row r="324" s="12" customFormat="1" ht="12" customHeight="1"/>
    <row r="325" s="12" customFormat="1" ht="12" customHeight="1"/>
    <row r="326" s="12" customFormat="1" ht="12" customHeight="1"/>
    <row r="327" s="12" customFormat="1" ht="12" customHeight="1"/>
    <row r="328" s="12" customFormat="1" ht="12" customHeight="1"/>
    <row r="329" s="12" customFormat="1" ht="12" customHeight="1"/>
    <row r="330" s="12" customFormat="1" ht="12" customHeight="1"/>
    <row r="331" s="12" customFormat="1" ht="12" customHeight="1"/>
    <row r="332" s="12" customFormat="1" ht="12" customHeight="1"/>
    <row r="333" s="12" customFormat="1" ht="12" customHeight="1"/>
    <row r="334" s="12" customFormat="1" ht="12" customHeight="1"/>
    <row r="335" s="12" customFormat="1" ht="12" customHeight="1"/>
    <row r="336" s="12" customFormat="1" ht="12" customHeight="1"/>
    <row r="337" s="12" customFormat="1" ht="12" customHeight="1"/>
    <row r="338" s="12" customFormat="1" ht="12" customHeight="1"/>
    <row r="339" s="12" customFormat="1" ht="12" customHeight="1"/>
    <row r="340" s="12" customFormat="1" ht="12" customHeight="1"/>
    <row r="341" s="12" customFormat="1" ht="12" customHeight="1"/>
    <row r="342" s="12" customFormat="1" ht="12" customHeight="1"/>
    <row r="343" s="12" customFormat="1" ht="12" customHeight="1"/>
    <row r="344" s="12" customFormat="1" ht="12" customHeight="1"/>
    <row r="345" s="12" customFormat="1" ht="12" customHeight="1"/>
    <row r="346" s="12" customFormat="1" ht="12" customHeight="1"/>
    <row r="347" s="12" customFormat="1" ht="12" customHeight="1"/>
    <row r="348" s="12" customFormat="1" ht="12" customHeight="1"/>
    <row r="349" s="12" customFormat="1" ht="12" customHeight="1"/>
    <row r="350" s="12" customFormat="1" ht="12" customHeight="1"/>
    <row r="351" s="12" customFormat="1" ht="12" customHeight="1"/>
    <row r="352" s="12" customFormat="1" ht="12" customHeight="1"/>
    <row r="353" s="12" customFormat="1" ht="12" customHeight="1"/>
    <row r="354" s="12" customFormat="1" ht="12" customHeight="1"/>
    <row r="355" s="12" customFormat="1" ht="12" customHeight="1"/>
    <row r="356" s="12" customFormat="1" ht="12" customHeight="1"/>
    <row r="357" s="12" customFormat="1" ht="12" customHeight="1"/>
    <row r="358" s="12" customFormat="1" ht="12" customHeight="1"/>
    <row r="359" s="12" customFormat="1" ht="12" customHeight="1"/>
    <row r="360" s="12" customFormat="1" ht="12" customHeight="1"/>
    <row r="361" s="12" customFormat="1" ht="12" customHeight="1"/>
    <row r="362" s="12" customFormat="1" ht="12" customHeight="1"/>
    <row r="363" s="12" customFormat="1" ht="12" customHeight="1"/>
    <row r="364" s="12" customFormat="1" ht="12" customHeight="1"/>
    <row r="365" s="12" customFormat="1" ht="12" customHeight="1"/>
    <row r="366" s="12" customFormat="1" ht="12" customHeight="1"/>
    <row r="367" s="12" customFormat="1" ht="12" customHeight="1"/>
    <row r="368" s="12" customFormat="1" ht="12" customHeight="1"/>
    <row r="369" s="12" customFormat="1" ht="12" customHeight="1"/>
    <row r="370" s="12" customFormat="1" ht="12" customHeight="1"/>
    <row r="371" s="12" customFormat="1" ht="12" customHeight="1"/>
    <row r="372" s="12" customFormat="1" ht="12" customHeight="1"/>
    <row r="373" s="12" customFormat="1" ht="12" customHeight="1"/>
    <row r="374" s="12" customFormat="1" ht="12" customHeight="1"/>
    <row r="375" s="12" customFormat="1" ht="12" customHeight="1"/>
    <row r="376" s="12" customFormat="1" ht="12" customHeight="1"/>
    <row r="377" s="12" customFormat="1" ht="12" customHeight="1"/>
    <row r="378" s="12" customFormat="1" ht="12" customHeight="1"/>
    <row r="379" s="12" customFormat="1" ht="12" customHeight="1"/>
    <row r="380" s="12" customFormat="1" ht="12" customHeight="1"/>
    <row r="381" s="12" customFormat="1" ht="12" customHeight="1"/>
    <row r="382" s="12" customFormat="1" ht="12" customHeight="1"/>
    <row r="383" s="12" customFormat="1" ht="12" customHeight="1"/>
    <row r="384" s="12" customFormat="1" ht="12" customHeight="1"/>
    <row r="385" s="12" customFormat="1" ht="12" customHeight="1"/>
    <row r="386" s="12" customFormat="1" ht="12" customHeight="1"/>
    <row r="387" s="12" customFormat="1" ht="12" customHeight="1"/>
    <row r="388" s="12" customFormat="1" ht="12" customHeight="1"/>
    <row r="389" s="12" customFormat="1" ht="12" customHeight="1"/>
    <row r="390" s="12" customFormat="1" ht="12" customHeight="1"/>
    <row r="391" s="12" customFormat="1" ht="12" customHeight="1"/>
    <row r="392" s="12" customFormat="1" ht="12" customHeight="1"/>
    <row r="393" s="12" customFormat="1" ht="12" customHeight="1"/>
    <row r="394" s="12" customFormat="1" ht="12" customHeight="1"/>
    <row r="395" s="12" customFormat="1" ht="12" customHeight="1"/>
    <row r="396" s="12" customFormat="1" ht="12" customHeight="1"/>
    <row r="397" s="12" customFormat="1" ht="12" customHeight="1"/>
    <row r="398" s="12" customFormat="1" ht="12" customHeight="1"/>
    <row r="399" s="12" customFormat="1" ht="12" customHeight="1"/>
    <row r="400" s="12" customFormat="1" ht="12" customHeight="1"/>
    <row r="401" s="12" customFormat="1" ht="12" customHeight="1"/>
    <row r="402" s="12" customFormat="1" ht="12" customHeight="1"/>
    <row r="403" s="12" customFormat="1" ht="12" customHeight="1"/>
    <row r="404" s="12" customFormat="1" ht="12" customHeight="1"/>
    <row r="405" s="12" customFormat="1" ht="12" customHeight="1"/>
    <row r="406" s="12" customFormat="1" ht="12" customHeight="1"/>
    <row r="407" s="12" customFormat="1" ht="12" customHeight="1"/>
    <row r="408" s="12" customFormat="1" ht="12" customHeight="1"/>
    <row r="409" s="12" customFormat="1" ht="12" customHeight="1"/>
    <row r="410" s="12" customFormat="1" ht="12" customHeight="1"/>
    <row r="411" s="12" customFormat="1" ht="12" customHeight="1"/>
    <row r="412" s="12" customFormat="1" ht="12" customHeight="1"/>
    <row r="413" s="12" customFormat="1" ht="12" customHeight="1"/>
    <row r="414" s="12" customFormat="1" ht="12" customHeight="1"/>
    <row r="415" s="12" customFormat="1" ht="12" customHeight="1"/>
    <row r="416" s="12" customFormat="1" ht="12" customHeight="1"/>
    <row r="417" s="12" customFormat="1" ht="12" customHeight="1"/>
    <row r="418" s="12" customFormat="1" ht="12" customHeight="1"/>
    <row r="419" s="12" customFormat="1" ht="12" customHeight="1"/>
    <row r="420" s="12" customFormat="1" ht="12" customHeight="1"/>
    <row r="421" s="12" customFormat="1" ht="12" customHeight="1"/>
    <row r="422" s="12" customFormat="1" ht="12" customHeight="1"/>
    <row r="423" s="12" customFormat="1" ht="12" customHeight="1"/>
    <row r="424" s="12" customFormat="1" ht="12" customHeight="1"/>
    <row r="425" s="12" customFormat="1" ht="12" customHeight="1"/>
    <row r="426" s="12" customFormat="1" ht="12" customHeight="1"/>
    <row r="427" s="12" customFormat="1" ht="12" customHeight="1"/>
    <row r="428" s="12" customFormat="1" ht="12" customHeight="1"/>
    <row r="429" s="12" customFormat="1" ht="12" customHeight="1"/>
    <row r="430" s="12" customFormat="1" ht="12" customHeight="1"/>
    <row r="431" s="12" customFormat="1" ht="12" customHeight="1"/>
    <row r="432" s="12" customFormat="1" ht="12" customHeight="1"/>
    <row r="433" s="12" customFormat="1" ht="12" customHeight="1"/>
    <row r="434" s="12" customFormat="1" ht="12" customHeight="1"/>
    <row r="435" s="12" customFormat="1" ht="12" customHeight="1"/>
    <row r="436" s="12" customFormat="1" ht="12" customHeight="1"/>
    <row r="437" s="12" customFormat="1" ht="12" customHeight="1"/>
    <row r="438" s="12" customFormat="1" ht="12" customHeight="1"/>
    <row r="439" s="12" customFormat="1" ht="12" customHeight="1"/>
    <row r="440" s="12" customFormat="1" ht="12" customHeight="1"/>
    <row r="441" s="12" customFormat="1" ht="12" customHeight="1"/>
    <row r="442" s="12" customFormat="1" ht="12" customHeight="1"/>
    <row r="443" s="12" customFormat="1" ht="12" customHeight="1"/>
    <row r="444" s="12" customFormat="1" ht="12" customHeight="1"/>
    <row r="445" s="12" customFormat="1" ht="12" customHeight="1"/>
    <row r="446" s="12" customFormat="1" ht="12" customHeight="1"/>
    <row r="447" s="12" customFormat="1" ht="12" customHeight="1"/>
    <row r="448" s="12" customFormat="1" ht="12" customHeight="1"/>
    <row r="449" s="12" customFormat="1" ht="12" customHeight="1"/>
    <row r="450" s="12" customFormat="1" ht="12" customHeight="1"/>
    <row r="451" s="12" customFormat="1" ht="12" customHeight="1"/>
    <row r="452" s="12" customFormat="1" ht="12" customHeight="1"/>
    <row r="453" s="12" customFormat="1" ht="12" customHeight="1"/>
    <row r="454" s="12" customFormat="1" ht="12" customHeight="1"/>
    <row r="455" s="12" customFormat="1" ht="12" customHeight="1"/>
    <row r="456" s="12" customFormat="1" ht="12" customHeight="1"/>
    <row r="457" s="12" customFormat="1" ht="12" customHeight="1"/>
    <row r="458" s="12" customFormat="1" ht="12" customHeight="1"/>
    <row r="459" s="12" customFormat="1" ht="12" customHeight="1"/>
    <row r="460" s="12" customFormat="1" ht="12" customHeight="1"/>
    <row r="461" s="12" customFormat="1" ht="12" customHeight="1"/>
    <row r="462" s="12" customFormat="1" ht="12" customHeight="1"/>
    <row r="463" s="12" customFormat="1" ht="12" customHeight="1"/>
    <row r="464" s="12" customFormat="1" ht="12" customHeight="1"/>
    <row r="465" s="12" customFormat="1" ht="12" customHeight="1"/>
    <row r="466" s="12" customFormat="1" ht="12" customHeight="1"/>
    <row r="467" s="12" customFormat="1" ht="12" customHeight="1"/>
    <row r="468" s="12" customFormat="1" ht="12" customHeight="1"/>
    <row r="469" s="12" customFormat="1" ht="12" customHeight="1"/>
    <row r="470" s="12" customFormat="1" ht="12" customHeight="1"/>
    <row r="471" s="12" customFormat="1" ht="12" customHeight="1"/>
    <row r="472" s="12" customFormat="1" ht="12" customHeight="1"/>
    <row r="473" s="12" customFormat="1" ht="12" customHeight="1"/>
    <row r="474" s="12" customFormat="1" ht="12" customHeight="1"/>
    <row r="475" s="12" customFormat="1" ht="12" customHeight="1"/>
    <row r="476" s="12" customFormat="1" ht="12" customHeight="1"/>
    <row r="477" s="12" customFormat="1" ht="12" customHeight="1"/>
    <row r="478" s="12" customFormat="1" ht="12" customHeight="1"/>
    <row r="479" s="12" customFormat="1" ht="12" customHeight="1"/>
    <row r="480" s="12" customFormat="1" ht="12" customHeight="1"/>
    <row r="481" s="12" customFormat="1" ht="12" customHeight="1"/>
    <row r="482" s="12" customFormat="1" ht="12" customHeight="1"/>
    <row r="483" s="12" customFormat="1" ht="12" customHeight="1"/>
    <row r="484" s="12" customFormat="1" ht="12" customHeight="1"/>
    <row r="485" s="12" customFormat="1" ht="12" customHeight="1"/>
    <row r="486" s="12" customFormat="1" ht="12" customHeight="1"/>
    <row r="487" s="12" customFormat="1" ht="12" customHeight="1"/>
    <row r="488" s="12" customFormat="1" ht="12" customHeight="1"/>
    <row r="489" s="12" customFormat="1" ht="12" customHeight="1"/>
    <row r="490" s="12" customFormat="1" ht="12" customHeight="1"/>
    <row r="491" s="12" customFormat="1" ht="12" customHeight="1"/>
    <row r="492" s="12" customFormat="1" ht="12" customHeight="1"/>
    <row r="493" s="12" customFormat="1" ht="12" customHeight="1"/>
    <row r="494" s="12" customFormat="1" ht="12" customHeight="1"/>
    <row r="495" s="12" customFormat="1" ht="12" customHeight="1"/>
    <row r="496" s="12" customFormat="1" ht="12" customHeight="1"/>
    <row r="497" s="12" customFormat="1" ht="12" customHeight="1"/>
    <row r="498" s="12" customFormat="1" ht="12" customHeight="1"/>
    <row r="499" s="12" customFormat="1" ht="12" customHeight="1"/>
    <row r="500" s="12" customFormat="1" ht="12" customHeight="1"/>
    <row r="501" s="12" customFormat="1" ht="12" customHeight="1"/>
    <row r="502" s="12" customFormat="1" ht="12" customHeight="1"/>
    <row r="503" s="12" customFormat="1" ht="12" customHeight="1"/>
    <row r="504" s="12" customFormat="1" ht="12" customHeight="1"/>
    <row r="505" s="12" customFormat="1" ht="12" customHeight="1"/>
    <row r="506" s="12" customFormat="1" ht="12" customHeight="1"/>
    <row r="507" s="12" customFormat="1" ht="12" customHeight="1"/>
    <row r="508" s="12" customFormat="1" ht="12" customHeight="1"/>
    <row r="509" s="12" customFormat="1" ht="12" customHeight="1"/>
    <row r="510" s="12" customFormat="1" ht="12" customHeight="1"/>
    <row r="511" s="12" customFormat="1" ht="12" customHeight="1"/>
    <row r="512" s="12" customFormat="1" ht="12" customHeight="1"/>
    <row r="513" s="12" customFormat="1" ht="12" customHeight="1"/>
    <row r="514" s="12" customFormat="1" ht="12" customHeight="1"/>
    <row r="515" s="12" customFormat="1" ht="12" customHeight="1"/>
    <row r="516" s="12" customFormat="1" ht="12" customHeight="1"/>
    <row r="517" s="12" customFormat="1" ht="12" customHeight="1"/>
    <row r="518" s="12" customFormat="1" ht="12" customHeight="1"/>
    <row r="519" s="12" customFormat="1" ht="12" customHeight="1"/>
    <row r="520" s="12" customFormat="1" ht="12" customHeight="1"/>
    <row r="521" s="12" customFormat="1" ht="12" customHeight="1"/>
    <row r="522" s="12" customFormat="1" ht="12" customHeight="1"/>
    <row r="523" s="12" customFormat="1" ht="12" customHeight="1"/>
    <row r="524" s="12" customFormat="1" ht="12" customHeight="1"/>
    <row r="525" s="12" customFormat="1" ht="12" customHeight="1"/>
    <row r="526" s="12" customFormat="1" ht="12" customHeight="1"/>
    <row r="527" s="12" customFormat="1" ht="12" customHeight="1"/>
    <row r="528" s="12" customFormat="1" ht="12" customHeight="1"/>
    <row r="529" s="12" customFormat="1" ht="12" customHeight="1"/>
    <row r="530" s="12" customFormat="1" ht="12" customHeight="1"/>
    <row r="531" s="12" customFormat="1" ht="12" customHeight="1"/>
    <row r="532" s="12" customFormat="1" ht="12" customHeight="1"/>
    <row r="533" s="12" customFormat="1" ht="12" customHeight="1"/>
    <row r="534" s="12" customFormat="1" ht="12" customHeight="1"/>
    <row r="535" s="12" customFormat="1" ht="12" customHeight="1"/>
    <row r="536" s="12" customFormat="1" ht="12" customHeight="1"/>
    <row r="537" s="12" customFormat="1" ht="12" customHeight="1"/>
    <row r="538" s="12" customFormat="1" ht="12" customHeight="1"/>
    <row r="539" s="12" customFormat="1" ht="12" customHeight="1"/>
    <row r="540" s="12" customFormat="1" ht="12" customHeight="1"/>
    <row r="541" s="12" customFormat="1" ht="12" customHeight="1"/>
    <row r="542" s="12" customFormat="1" ht="12" customHeight="1"/>
    <row r="543" s="12" customFormat="1" ht="12" customHeight="1"/>
    <row r="544" s="12" customFormat="1" ht="12" customHeight="1"/>
    <row r="545" s="12" customFormat="1" ht="12" customHeight="1"/>
    <row r="546" s="12" customFormat="1" ht="12" customHeight="1"/>
    <row r="547" s="12" customFormat="1" ht="12" customHeight="1"/>
    <row r="548" s="12" customFormat="1" ht="12" customHeight="1"/>
    <row r="549" s="12" customFormat="1" ht="12" customHeight="1"/>
    <row r="550" s="12" customFormat="1" ht="12" customHeight="1"/>
    <row r="551" s="12" customFormat="1" ht="12" customHeight="1"/>
    <row r="552" s="12" customFormat="1" ht="12" customHeight="1"/>
    <row r="553" s="12" customFormat="1" ht="12" customHeight="1"/>
    <row r="554" s="12" customFormat="1" ht="12" customHeight="1"/>
    <row r="555" s="12" customFormat="1" ht="12" customHeight="1"/>
    <row r="556" s="12" customFormat="1" ht="12" customHeight="1"/>
    <row r="557" s="12" customFormat="1" ht="12" customHeight="1"/>
    <row r="558" s="12" customFormat="1" ht="12" customHeight="1"/>
    <row r="559" s="12" customFormat="1" ht="12" customHeight="1"/>
    <row r="560" s="12" customFormat="1" ht="12" customHeight="1"/>
    <row r="561" s="12" customFormat="1" ht="12" customHeight="1"/>
    <row r="562" s="12" customFormat="1" ht="12" customHeight="1"/>
    <row r="563" s="12" customFormat="1" ht="12" customHeight="1"/>
    <row r="564" s="12" customFormat="1" ht="12" customHeight="1"/>
    <row r="565" s="12" customFormat="1" ht="12" customHeight="1"/>
    <row r="566" s="12" customFormat="1" ht="12" customHeight="1"/>
    <row r="567" s="12" customFormat="1" ht="12" customHeight="1"/>
    <row r="568" s="12" customFormat="1" ht="12" customHeight="1"/>
    <row r="569" s="12" customFormat="1" ht="12" customHeight="1"/>
    <row r="570" s="12" customFormat="1" ht="12" customHeight="1"/>
    <row r="571" s="12" customFormat="1" ht="12" customHeight="1"/>
    <row r="572" s="12" customFormat="1" ht="12" customHeight="1"/>
    <row r="573" s="12" customFormat="1" ht="12" customHeight="1"/>
    <row r="574" s="12" customFormat="1" ht="12" customHeight="1"/>
    <row r="575" s="12" customFormat="1" ht="12" customHeight="1"/>
    <row r="576" s="12" customFormat="1" ht="12" customHeight="1"/>
    <row r="577" s="12" customFormat="1" ht="12" customHeight="1"/>
    <row r="578" s="12" customFormat="1" ht="12" customHeight="1"/>
    <row r="579" s="12" customFormat="1" ht="12" customHeight="1"/>
    <row r="580" s="12" customFormat="1" ht="12" customHeight="1"/>
    <row r="581" s="12" customFormat="1" ht="12" customHeight="1"/>
    <row r="582" s="12" customFormat="1" ht="12" customHeight="1"/>
    <row r="583" s="12" customFormat="1" ht="12" customHeight="1"/>
    <row r="584" s="12" customFormat="1" ht="12" customHeight="1"/>
    <row r="585" s="12" customFormat="1" ht="12" customHeight="1"/>
    <row r="586" s="12" customFormat="1" ht="12" customHeight="1"/>
    <row r="587" s="12" customFormat="1" ht="12" customHeight="1"/>
    <row r="588" s="12" customFormat="1" ht="12" customHeight="1"/>
    <row r="589" s="12" customFormat="1" ht="12" customHeight="1"/>
    <row r="590" s="12" customFormat="1" ht="12" customHeight="1"/>
    <row r="591" s="12" customFormat="1" ht="12" customHeight="1"/>
    <row r="592" s="12" customFormat="1" ht="12" customHeight="1"/>
    <row r="593" s="12" customFormat="1" ht="12" customHeight="1"/>
    <row r="594" s="12" customFormat="1" ht="12" customHeight="1"/>
    <row r="595" s="12" customFormat="1" ht="12" customHeight="1"/>
    <row r="596" s="12" customFormat="1" ht="12" customHeight="1"/>
    <row r="597" s="12" customFormat="1" ht="12" customHeight="1"/>
    <row r="598" s="12" customFormat="1" ht="12" customHeight="1"/>
    <row r="599" s="12" customFormat="1" ht="12" customHeight="1"/>
    <row r="600" s="12" customFormat="1" ht="12" customHeight="1"/>
    <row r="601" s="12" customFormat="1" ht="12" customHeight="1"/>
    <row r="602" s="12" customFormat="1" ht="12" customHeight="1"/>
    <row r="603" s="12" customFormat="1" ht="12" customHeight="1"/>
    <row r="604" s="12" customFormat="1" ht="12" customHeight="1"/>
    <row r="605" s="12" customFormat="1" ht="12" customHeight="1"/>
    <row r="606" s="12" customFormat="1" ht="12" customHeight="1"/>
    <row r="607" s="12" customFormat="1" ht="12" customHeight="1"/>
    <row r="608" s="12" customFormat="1" ht="12" customHeight="1"/>
    <row r="609" s="12" customFormat="1" ht="12" customHeight="1"/>
    <row r="610" s="12" customFormat="1" ht="12" customHeight="1"/>
    <row r="611" s="12" customFormat="1" ht="12" customHeight="1"/>
    <row r="612" s="12" customFormat="1" ht="12" customHeight="1"/>
    <row r="613" s="12" customFormat="1" ht="12" customHeight="1"/>
    <row r="614" s="12" customFormat="1" ht="12" customHeight="1"/>
    <row r="615" s="12" customFormat="1" ht="12" customHeight="1"/>
    <row r="616" s="12" customFormat="1" ht="12" customHeight="1"/>
    <row r="617" s="12" customFormat="1" ht="12" customHeight="1"/>
    <row r="618" s="12" customFormat="1" ht="12" customHeight="1"/>
    <row r="619" s="12" customFormat="1" ht="12" customHeight="1"/>
    <row r="620" s="12" customFormat="1" ht="12" customHeight="1"/>
    <row r="621" s="12" customFormat="1" ht="12" customHeight="1"/>
    <row r="622" s="12" customFormat="1" ht="12" customHeight="1"/>
    <row r="623" s="12" customFormat="1" ht="12" customHeight="1"/>
    <row r="624" s="12" customFormat="1" ht="12" customHeight="1"/>
    <row r="625" s="12" customFormat="1" ht="12" customHeight="1"/>
    <row r="626" s="12" customFormat="1" ht="12" customHeight="1"/>
    <row r="627" s="12" customFormat="1" ht="12" customHeight="1"/>
    <row r="628" s="12" customFormat="1" ht="12" customHeight="1"/>
    <row r="629" s="12" customFormat="1" ht="12" customHeight="1"/>
    <row r="630" s="12" customFormat="1" ht="12" customHeight="1"/>
    <row r="631" s="12" customFormat="1" ht="12" customHeight="1"/>
    <row r="632" s="12" customFormat="1" ht="12" customHeight="1"/>
    <row r="633" s="12" customFormat="1" ht="12" customHeight="1"/>
    <row r="634" s="12" customFormat="1" ht="12" customHeight="1"/>
    <row r="635" s="12" customFormat="1" ht="12" customHeight="1"/>
    <row r="636" s="12" customFormat="1" ht="12" customHeight="1"/>
    <row r="637" s="12" customFormat="1" ht="12" customHeight="1"/>
    <row r="638" s="12" customFormat="1" ht="12" customHeight="1"/>
    <row r="639" s="12" customFormat="1" ht="12" customHeight="1"/>
    <row r="640" s="12" customFormat="1" ht="12" customHeight="1"/>
    <row r="641" s="12" customFormat="1" ht="12" customHeight="1"/>
    <row r="642" s="12" customFormat="1" ht="12" customHeight="1"/>
    <row r="643" s="12" customFormat="1" ht="12" customHeight="1"/>
    <row r="644" s="12" customFormat="1" ht="12" customHeight="1"/>
    <row r="645" s="12" customFormat="1" ht="12" customHeight="1"/>
    <row r="646" s="12" customFormat="1" ht="12" customHeight="1"/>
    <row r="647" s="12" customFormat="1" ht="12" customHeight="1"/>
    <row r="648" s="12" customFormat="1" ht="12" customHeight="1"/>
  </sheetData>
  <mergeCells count="5">
    <mergeCell ref="A23:IV23"/>
    <mergeCell ref="A4:A6"/>
    <mergeCell ref="A1:IV1"/>
    <mergeCell ref="A2:IV2"/>
    <mergeCell ref="A3:IV3"/>
  </mergeCells>
  <hyperlinks>
    <hyperlink ref="A29" location="Home!A1" display="Return Hom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32.28125" style="4" customWidth="1"/>
    <col min="2" max="2" width="20.140625" style="4" bestFit="1" customWidth="1"/>
    <col min="3" max="4" width="29.7109375" style="4" bestFit="1" customWidth="1"/>
    <col min="5" max="5" width="27.00390625" style="4" bestFit="1" customWidth="1"/>
    <col min="6" max="6" width="29.7109375" style="4" bestFit="1" customWidth="1"/>
    <col min="7" max="7" width="27.00390625" style="4" bestFit="1" customWidth="1"/>
    <col min="8" max="8" width="29.7109375" style="4" bestFit="1" customWidth="1"/>
    <col min="9" max="16384" width="9.140625" style="4" customWidth="1"/>
  </cols>
  <sheetData>
    <row r="1" s="71" customFormat="1" ht="20.25">
      <c r="A1" s="71" t="s">
        <v>28</v>
      </c>
    </row>
    <row r="2" s="72" customFormat="1" ht="12">
      <c r="A2" s="72" t="s">
        <v>1</v>
      </c>
    </row>
    <row r="3" s="73" customFormat="1" ht="12"/>
    <row r="4" spans="1:8" s="16" customFormat="1" ht="12">
      <c r="A4" s="74" t="s">
        <v>2</v>
      </c>
      <c r="B4" s="37" t="s">
        <v>3</v>
      </c>
      <c r="C4" s="37" t="s">
        <v>4</v>
      </c>
      <c r="D4" s="37" t="s">
        <v>4</v>
      </c>
      <c r="E4" s="37" t="s">
        <v>5</v>
      </c>
      <c r="F4" s="37" t="s">
        <v>5</v>
      </c>
      <c r="G4" s="37" t="s">
        <v>6</v>
      </c>
      <c r="H4" s="37" t="s">
        <v>6</v>
      </c>
    </row>
    <row r="5" spans="1:8" s="16" customFormat="1" ht="12">
      <c r="A5" s="75"/>
      <c r="B5" s="38" t="s">
        <v>7</v>
      </c>
      <c r="C5" s="38" t="s">
        <v>8</v>
      </c>
      <c r="D5" s="38" t="s">
        <v>8</v>
      </c>
      <c r="E5" s="38" t="s">
        <v>7</v>
      </c>
      <c r="F5" s="38" t="s">
        <v>7</v>
      </c>
      <c r="G5" s="38" t="s">
        <v>7</v>
      </c>
      <c r="H5" s="38" t="s">
        <v>7</v>
      </c>
    </row>
    <row r="6" spans="1:8" s="16" customFormat="1" ht="12">
      <c r="A6" s="76"/>
      <c r="B6" s="39" t="s">
        <v>9</v>
      </c>
      <c r="C6" s="39" t="s">
        <v>10</v>
      </c>
      <c r="D6" s="39" t="s">
        <v>11</v>
      </c>
      <c r="E6" s="39" t="s">
        <v>10</v>
      </c>
      <c r="F6" s="39" t="s">
        <v>11</v>
      </c>
      <c r="G6" s="39" t="s">
        <v>10</v>
      </c>
      <c r="H6" s="39" t="s">
        <v>11</v>
      </c>
    </row>
    <row r="7" spans="1:8" ht="12">
      <c r="A7" s="41" t="s">
        <v>12</v>
      </c>
      <c r="B7" s="19">
        <f>382.9*(1-0.0775)</f>
        <v>353.22524999999996</v>
      </c>
      <c r="C7" s="19">
        <f>(185.7+95.8+105.2)*(1-0.0775)</f>
        <v>356.73075</v>
      </c>
      <c r="D7" s="19">
        <f>(185.7+141.6+159.1)*(1-0.0775)</f>
        <v>448.70399999999995</v>
      </c>
      <c r="E7" s="19">
        <f>549.1*(1-0.0775)</f>
        <v>506.54475</v>
      </c>
      <c r="F7" s="19">
        <f>648.8*(1-0.0775)</f>
        <v>598.5179999999999</v>
      </c>
      <c r="G7" s="19">
        <f>549.1*(1-0.0775)</f>
        <v>506.54475</v>
      </c>
      <c r="H7" s="19">
        <f>648.8*(1-0.0775)</f>
        <v>598.5179999999999</v>
      </c>
    </row>
    <row r="8" spans="1:8" ht="12">
      <c r="A8" s="41" t="s">
        <v>13</v>
      </c>
      <c r="B8" s="19">
        <v>538</v>
      </c>
      <c r="C8" s="19">
        <v>706</v>
      </c>
      <c r="D8" s="19">
        <v>706</v>
      </c>
      <c r="E8" s="19">
        <v>706</v>
      </c>
      <c r="F8" s="19">
        <v>706</v>
      </c>
      <c r="G8" s="19">
        <v>706</v>
      </c>
      <c r="H8" s="19">
        <v>706</v>
      </c>
    </row>
    <row r="9" spans="1:8" ht="12">
      <c r="A9" s="41" t="s">
        <v>14</v>
      </c>
      <c r="B9" s="19">
        <f>103+(80/12)</f>
        <v>109.66666666666667</v>
      </c>
      <c r="C9" s="19">
        <f>127+(180/12)</f>
        <v>142</v>
      </c>
      <c r="D9" s="19">
        <f>145+(180/12)</f>
        <v>160</v>
      </c>
      <c r="E9" s="19">
        <f>167+(220/12)</f>
        <v>185.33333333333334</v>
      </c>
      <c r="F9" s="19">
        <f>190+(220/12)</f>
        <v>208.33333333333334</v>
      </c>
      <c r="G9" s="19">
        <f>167+(220/12)</f>
        <v>185.33333333333334</v>
      </c>
      <c r="H9" s="19">
        <f>190+(220/12)</f>
        <v>208.33333333333334</v>
      </c>
    </row>
    <row r="10" spans="1:8" ht="12">
      <c r="A10" s="41" t="s">
        <v>15</v>
      </c>
      <c r="B10" s="19">
        <f>250+115+42</f>
        <v>407</v>
      </c>
      <c r="C10" s="19">
        <f>250+105+49</f>
        <v>404</v>
      </c>
      <c r="D10" s="19">
        <f>250+115+45</f>
        <v>410</v>
      </c>
      <c r="E10" s="19">
        <f>250+125+42</f>
        <v>417</v>
      </c>
      <c r="F10" s="19">
        <f>250+134+41</f>
        <v>425</v>
      </c>
      <c r="G10" s="19">
        <f>250+125+42</f>
        <v>417</v>
      </c>
      <c r="H10" s="19">
        <f>250+134+41</f>
        <v>425</v>
      </c>
    </row>
    <row r="11" spans="1:8" ht="12">
      <c r="A11" s="41" t="s">
        <v>16</v>
      </c>
      <c r="B11" s="19">
        <v>0</v>
      </c>
      <c r="C11" s="19">
        <f>100*1.9*4</f>
        <v>760</v>
      </c>
      <c r="D11" s="19">
        <f>68*1.9*4</f>
        <v>516.8</v>
      </c>
      <c r="E11" s="19">
        <f>100*1.9*4</f>
        <v>760</v>
      </c>
      <c r="F11" s="19">
        <f>68*1.9*4</f>
        <v>516.8</v>
      </c>
      <c r="G11" s="19">
        <v>0</v>
      </c>
      <c r="H11" s="19">
        <v>0</v>
      </c>
    </row>
    <row r="12" spans="1:8" ht="12">
      <c r="A12" s="42" t="s">
        <v>17</v>
      </c>
      <c r="B12" s="26">
        <f>65+47+(37+33+14+39)*1.06</f>
        <v>242.38</v>
      </c>
      <c r="C12" s="26">
        <f>65+47+(37+33+39+4+6)*1.06</f>
        <v>238.14</v>
      </c>
      <c r="D12" s="26">
        <f>65+47+(37+33+39+4+6)*1.06</f>
        <v>238.14</v>
      </c>
      <c r="E12" s="26">
        <f>65+47+(37+33+14+39+4+6)*1.06</f>
        <v>252.98000000000002</v>
      </c>
      <c r="F12" s="26">
        <f>65+47+(37+33+14+39+4+6)*1.06</f>
        <v>252.98000000000002</v>
      </c>
      <c r="G12" s="26">
        <f>65+47+(37+33+14+39+4+6)*1.06</f>
        <v>252.98000000000002</v>
      </c>
      <c r="H12" s="26">
        <f>65+47+(37+33+14+39+4+6)*1.06</f>
        <v>252.98000000000002</v>
      </c>
    </row>
    <row r="13" spans="1:8" s="29" customFormat="1" ht="12">
      <c r="A13" s="40"/>
      <c r="B13" s="43"/>
      <c r="C13" s="43"/>
      <c r="D13" s="43"/>
      <c r="E13" s="43"/>
      <c r="F13" s="43"/>
      <c r="G13" s="43"/>
      <c r="H13" s="43"/>
    </row>
    <row r="14" spans="1:8" ht="12">
      <c r="A14" s="41" t="s">
        <v>18</v>
      </c>
      <c r="B14" s="19">
        <f aca="true" t="shared" si="0" ref="B14:H14">SUM(B7:B12)</f>
        <v>1650.2719166666666</v>
      </c>
      <c r="C14" s="19">
        <f t="shared" si="0"/>
        <v>2606.8707499999996</v>
      </c>
      <c r="D14" s="19">
        <f t="shared" si="0"/>
        <v>2479.644</v>
      </c>
      <c r="E14" s="19">
        <f t="shared" si="0"/>
        <v>2827.858083333333</v>
      </c>
      <c r="F14" s="19">
        <f t="shared" si="0"/>
        <v>2707.6313333333333</v>
      </c>
      <c r="G14" s="19">
        <f t="shared" si="0"/>
        <v>2067.8580833333335</v>
      </c>
      <c r="H14" s="19">
        <f t="shared" si="0"/>
        <v>2190.8313333333335</v>
      </c>
    </row>
    <row r="15" spans="1:8" ht="12">
      <c r="A15" s="41" t="s">
        <v>19</v>
      </c>
      <c r="B15" s="19">
        <f aca="true" t="shared" si="1" ref="B15:H15">B14*12</f>
        <v>19803.263</v>
      </c>
      <c r="C15" s="19">
        <f t="shared" si="1"/>
        <v>31282.448999999993</v>
      </c>
      <c r="D15" s="19">
        <f t="shared" si="1"/>
        <v>29755.727999999996</v>
      </c>
      <c r="E15" s="19">
        <f t="shared" si="1"/>
        <v>33934.297</v>
      </c>
      <c r="F15" s="19">
        <f t="shared" si="1"/>
        <v>32491.576</v>
      </c>
      <c r="G15" s="19">
        <f t="shared" si="1"/>
        <v>24814.297000000002</v>
      </c>
      <c r="H15" s="19">
        <f t="shared" si="1"/>
        <v>26289.976000000002</v>
      </c>
    </row>
    <row r="16" spans="1:8" ht="12">
      <c r="A16" s="41" t="s">
        <v>20</v>
      </c>
      <c r="B16" s="19">
        <v>3213.1805000000004</v>
      </c>
      <c r="C16" s="19">
        <v>1478.0665000000001</v>
      </c>
      <c r="D16" s="19">
        <v>117.42099999999994</v>
      </c>
      <c r="E16" s="19">
        <v>1780.914</v>
      </c>
      <c r="F16" s="19">
        <v>1127.57</v>
      </c>
      <c r="G16" s="19">
        <v>-2437.4294999999997</v>
      </c>
      <c r="H16" s="19">
        <v>-1694.4859999999999</v>
      </c>
    </row>
    <row r="17" spans="1:8" ht="12">
      <c r="A17" s="41" t="s">
        <v>21</v>
      </c>
      <c r="B17" s="19">
        <v>23017</v>
      </c>
      <c r="C17" s="19">
        <v>32761</v>
      </c>
      <c r="D17" s="19">
        <v>29874</v>
      </c>
      <c r="E17" s="19">
        <v>35716</v>
      </c>
      <c r="F17" s="19">
        <v>33620</v>
      </c>
      <c r="G17" s="19">
        <v>22377</v>
      </c>
      <c r="H17" s="19">
        <v>24596</v>
      </c>
    </row>
    <row r="18" spans="1:8" ht="12">
      <c r="A18" s="41" t="s">
        <v>22</v>
      </c>
      <c r="B18" s="19">
        <f aca="true" t="shared" si="2" ref="B18:H18">B17/12</f>
        <v>1918.0833333333333</v>
      </c>
      <c r="C18" s="19">
        <f t="shared" si="2"/>
        <v>2730.0833333333335</v>
      </c>
      <c r="D18" s="19">
        <f t="shared" si="2"/>
        <v>2489.5</v>
      </c>
      <c r="E18" s="19">
        <f t="shared" si="2"/>
        <v>2976.3333333333335</v>
      </c>
      <c r="F18" s="19">
        <f t="shared" si="2"/>
        <v>2801.6666666666665</v>
      </c>
      <c r="G18" s="19">
        <f t="shared" si="2"/>
        <v>1864.75</v>
      </c>
      <c r="H18" s="19">
        <f t="shared" si="2"/>
        <v>2049.6666666666665</v>
      </c>
    </row>
    <row r="19" spans="1:8" ht="12">
      <c r="A19" s="42" t="s">
        <v>23</v>
      </c>
      <c r="B19" s="28">
        <f>B17/4000</f>
        <v>5.75425</v>
      </c>
      <c r="C19" s="28">
        <f>C17/2000</f>
        <v>16.3805</v>
      </c>
      <c r="D19" s="28">
        <f>D17/2000</f>
        <v>14.937</v>
      </c>
      <c r="E19" s="28">
        <f>E17/4000</f>
        <v>8.929</v>
      </c>
      <c r="F19" s="28">
        <f>F17/4000</f>
        <v>8.405</v>
      </c>
      <c r="G19" s="28">
        <f>G17/2000</f>
        <v>11.1885</v>
      </c>
      <c r="H19" s="28">
        <f>H17/2000</f>
        <v>12.298</v>
      </c>
    </row>
    <row r="20" spans="1:8" s="29" customFormat="1" ht="12">
      <c r="A20" s="40"/>
      <c r="B20" s="43"/>
      <c r="C20" s="43"/>
      <c r="D20" s="43"/>
      <c r="E20" s="43"/>
      <c r="F20" s="43"/>
      <c r="G20" s="43"/>
      <c r="H20" s="43"/>
    </row>
    <row r="21" spans="1:8" ht="12">
      <c r="A21" s="41" t="s">
        <v>24</v>
      </c>
      <c r="B21" s="34">
        <v>12649</v>
      </c>
      <c r="C21" s="34">
        <v>15219</v>
      </c>
      <c r="D21" s="34">
        <v>15219</v>
      </c>
      <c r="E21" s="34">
        <v>19157</v>
      </c>
      <c r="F21" s="34">
        <v>19157</v>
      </c>
      <c r="G21" s="34">
        <v>19157</v>
      </c>
      <c r="H21" s="34">
        <v>19157</v>
      </c>
    </row>
    <row r="22" spans="1:8" ht="12">
      <c r="A22" s="41" t="s">
        <v>25</v>
      </c>
      <c r="B22" s="33">
        <f aca="true" t="shared" si="3" ref="B22:H22">B17/B21</f>
        <v>1.8196695390939994</v>
      </c>
      <c r="C22" s="33">
        <f t="shared" si="3"/>
        <v>2.1526381496813194</v>
      </c>
      <c r="D22" s="33">
        <f t="shared" si="3"/>
        <v>1.9629410605164597</v>
      </c>
      <c r="E22" s="33">
        <f t="shared" si="3"/>
        <v>1.8643837761653703</v>
      </c>
      <c r="F22" s="33">
        <f t="shared" si="3"/>
        <v>1.7549720728715352</v>
      </c>
      <c r="G22" s="33">
        <f t="shared" si="3"/>
        <v>1.1680847731899566</v>
      </c>
      <c r="H22" s="33">
        <f t="shared" si="3"/>
        <v>1.2839171060186876</v>
      </c>
    </row>
    <row r="23" s="67" customFormat="1" ht="12"/>
    <row r="24" ht="12">
      <c r="A24" s="4" t="s">
        <v>26</v>
      </c>
    </row>
    <row r="25" ht="12">
      <c r="A25" s="4" t="s">
        <v>27</v>
      </c>
    </row>
    <row r="26" s="12" customFormat="1" ht="12" customHeight="1"/>
    <row r="27" s="12" customFormat="1" ht="12" customHeight="1"/>
    <row r="28" s="12" customFormat="1" ht="12" customHeight="1">
      <c r="A28" s="65" t="s">
        <v>70</v>
      </c>
    </row>
    <row r="29" s="12" customFormat="1" ht="12" customHeight="1"/>
    <row r="30" s="12" customFormat="1" ht="12" customHeight="1"/>
    <row r="31" s="12" customFormat="1" ht="12" customHeight="1"/>
    <row r="32" s="12" customFormat="1" ht="12" customHeight="1"/>
    <row r="33" s="12" customFormat="1" ht="12" customHeight="1"/>
    <row r="34" s="12" customFormat="1" ht="12" customHeight="1"/>
    <row r="35" s="12" customFormat="1" ht="12" customHeight="1"/>
    <row r="36" s="12" customFormat="1" ht="12" customHeight="1"/>
    <row r="37" s="12" customFormat="1" ht="12" customHeight="1"/>
    <row r="38" s="12" customFormat="1" ht="12" customHeight="1"/>
    <row r="39" s="12" customFormat="1" ht="12" customHeight="1"/>
    <row r="40" s="12" customFormat="1" ht="12" customHeight="1"/>
    <row r="41" s="12" customFormat="1" ht="12" customHeight="1"/>
    <row r="42" s="12" customFormat="1" ht="12" customHeight="1"/>
    <row r="43" s="12" customFormat="1" ht="12" customHeight="1"/>
    <row r="44" s="12" customFormat="1" ht="12" customHeight="1"/>
    <row r="45" s="12" customFormat="1" ht="12" customHeight="1"/>
    <row r="46" s="12" customFormat="1" ht="12" customHeight="1"/>
    <row r="47" s="12" customFormat="1" ht="12" customHeight="1"/>
    <row r="48" s="12" customFormat="1" ht="12" customHeight="1"/>
    <row r="49" s="12" customFormat="1" ht="12" customHeight="1"/>
    <row r="50" s="12" customFormat="1" ht="12" customHeight="1"/>
    <row r="51" s="12" customFormat="1" ht="12" customHeight="1"/>
    <row r="52" s="12" customFormat="1" ht="12" customHeight="1"/>
    <row r="53" s="12" customFormat="1" ht="12" customHeight="1"/>
    <row r="54" s="12" customFormat="1" ht="12" customHeight="1"/>
    <row r="55" s="12" customFormat="1" ht="12" customHeight="1"/>
    <row r="56" s="12" customFormat="1" ht="12" customHeight="1"/>
    <row r="57" s="12" customFormat="1" ht="12" customHeight="1"/>
    <row r="58" s="12" customFormat="1" ht="12" customHeight="1"/>
    <row r="59" s="12" customFormat="1" ht="12" customHeight="1"/>
    <row r="60" s="12" customFormat="1" ht="12" customHeight="1"/>
    <row r="61" s="12" customFormat="1" ht="12" customHeight="1"/>
    <row r="62" s="12" customFormat="1" ht="12" customHeight="1"/>
    <row r="63" s="12" customFormat="1" ht="12" customHeight="1"/>
    <row r="64" s="12" customFormat="1" ht="12" customHeight="1"/>
    <row r="65" s="12" customFormat="1" ht="12" customHeight="1"/>
    <row r="66" s="12" customFormat="1" ht="12" customHeight="1"/>
    <row r="67" s="12" customFormat="1" ht="12" customHeight="1"/>
    <row r="68" s="12" customFormat="1" ht="12" customHeight="1"/>
    <row r="69" s="12" customFormat="1" ht="12" customHeight="1"/>
    <row r="70" s="12" customFormat="1" ht="12" customHeight="1"/>
    <row r="71" s="12" customFormat="1" ht="12" customHeight="1"/>
    <row r="72" s="12" customFormat="1" ht="12" customHeight="1"/>
    <row r="73" s="12" customFormat="1" ht="12" customHeight="1"/>
    <row r="74" s="12" customFormat="1" ht="12" customHeight="1"/>
    <row r="75" s="12" customFormat="1" ht="12" customHeight="1"/>
    <row r="76" s="12" customFormat="1" ht="12" customHeight="1"/>
    <row r="77" s="12" customFormat="1" ht="12" customHeight="1"/>
    <row r="78" s="12" customFormat="1" ht="12" customHeight="1"/>
    <row r="79" s="12" customFormat="1" ht="12" customHeight="1"/>
    <row r="80" s="12" customFormat="1" ht="12" customHeight="1"/>
    <row r="81" s="12" customFormat="1" ht="12" customHeight="1"/>
    <row r="82" s="12" customFormat="1" ht="12" customHeight="1"/>
    <row r="83" s="12" customFormat="1" ht="12" customHeight="1"/>
    <row r="84" s="12" customFormat="1" ht="12" customHeight="1"/>
    <row r="85" s="12" customFormat="1" ht="12" customHeight="1"/>
    <row r="86" s="12" customFormat="1" ht="12" customHeight="1"/>
    <row r="87" s="12" customFormat="1" ht="12" customHeight="1"/>
    <row r="88" s="12" customFormat="1" ht="12" customHeight="1"/>
    <row r="89" s="12" customFormat="1" ht="12" customHeight="1"/>
    <row r="90" s="12" customFormat="1" ht="12" customHeight="1"/>
    <row r="91" s="12" customFormat="1" ht="12" customHeight="1"/>
    <row r="92" s="12" customFormat="1" ht="12" customHeight="1"/>
    <row r="93" s="12" customFormat="1" ht="12" customHeight="1"/>
    <row r="94" s="12" customFormat="1" ht="12" customHeight="1"/>
    <row r="95" s="12" customFormat="1" ht="12" customHeight="1"/>
    <row r="96" s="12" customFormat="1" ht="12" customHeight="1"/>
    <row r="97" s="12" customFormat="1" ht="12" customHeight="1"/>
    <row r="98" s="12" customFormat="1" ht="12" customHeight="1"/>
    <row r="99" s="12" customFormat="1" ht="12" customHeight="1"/>
    <row r="100" s="12" customFormat="1" ht="12" customHeight="1"/>
    <row r="101" s="12" customFormat="1" ht="12" customHeight="1"/>
    <row r="102" s="12" customFormat="1" ht="12" customHeight="1"/>
    <row r="103" s="12" customFormat="1" ht="12" customHeight="1"/>
    <row r="104" s="12" customFormat="1" ht="12" customHeight="1"/>
    <row r="105" s="12" customFormat="1" ht="12" customHeight="1"/>
    <row r="106" s="12" customFormat="1" ht="12" customHeight="1"/>
    <row r="107" s="12" customFormat="1" ht="12" customHeight="1"/>
    <row r="108" s="12" customFormat="1" ht="12" customHeight="1"/>
    <row r="109" s="12" customFormat="1" ht="12" customHeight="1"/>
    <row r="110" s="12" customFormat="1" ht="12" customHeight="1"/>
    <row r="111" s="12" customFormat="1" ht="12" customHeight="1"/>
    <row r="112" s="12" customFormat="1" ht="12" customHeight="1"/>
    <row r="113" s="12" customFormat="1" ht="12" customHeight="1"/>
    <row r="114" s="12" customFormat="1" ht="12" customHeight="1"/>
    <row r="115" s="12" customFormat="1" ht="12" customHeight="1"/>
    <row r="116" s="12" customFormat="1" ht="12" customHeight="1"/>
    <row r="117" s="12" customFormat="1" ht="12" customHeight="1"/>
    <row r="118" s="12" customFormat="1" ht="12" customHeight="1"/>
    <row r="119" s="12" customFormat="1" ht="12" customHeight="1"/>
    <row r="120" s="12" customFormat="1" ht="12" customHeight="1"/>
    <row r="121" s="12" customFormat="1" ht="12" customHeight="1"/>
    <row r="122" s="12" customFormat="1" ht="12" customHeight="1"/>
    <row r="123" s="12" customFormat="1" ht="12" customHeight="1"/>
    <row r="124" s="12" customFormat="1" ht="12" customHeight="1"/>
    <row r="125" s="12" customFormat="1" ht="12" customHeight="1"/>
    <row r="126" s="12" customFormat="1" ht="12" customHeight="1"/>
    <row r="127" s="12" customFormat="1" ht="12" customHeight="1"/>
    <row r="128" s="12" customFormat="1" ht="12" customHeight="1"/>
    <row r="129" s="12" customFormat="1" ht="12" customHeight="1"/>
    <row r="130" s="12" customFormat="1" ht="12" customHeight="1"/>
    <row r="131" s="12" customFormat="1" ht="12" customHeight="1"/>
    <row r="132" s="12" customFormat="1" ht="12" customHeight="1"/>
    <row r="133" s="12" customFormat="1" ht="12" customHeight="1"/>
    <row r="134" s="12" customFormat="1" ht="12" customHeight="1"/>
    <row r="135" s="12" customFormat="1" ht="12" customHeight="1"/>
    <row r="136" s="12" customFormat="1" ht="12" customHeight="1"/>
    <row r="137" s="12" customFormat="1" ht="12" customHeight="1"/>
    <row r="138" s="12" customFormat="1" ht="12" customHeight="1"/>
    <row r="139" s="12" customFormat="1" ht="12" customHeight="1"/>
    <row r="140" s="12" customFormat="1" ht="12" customHeight="1"/>
    <row r="141" s="12" customFormat="1" ht="12" customHeight="1"/>
    <row r="142" s="12" customFormat="1" ht="12" customHeight="1"/>
    <row r="143" s="12" customFormat="1" ht="12" customHeight="1"/>
    <row r="144" s="12" customFormat="1" ht="12" customHeight="1"/>
    <row r="145" s="12" customFormat="1" ht="12" customHeight="1"/>
    <row r="146" s="12" customFormat="1" ht="12" customHeight="1"/>
    <row r="147" s="12" customFormat="1" ht="12" customHeight="1"/>
    <row r="148" s="12" customFormat="1" ht="12" customHeight="1"/>
    <row r="149" s="12" customFormat="1" ht="12" customHeight="1"/>
    <row r="150" s="12" customFormat="1" ht="12" customHeight="1"/>
    <row r="151" s="12" customFormat="1" ht="12" customHeight="1"/>
    <row r="152" s="12" customFormat="1" ht="12" customHeight="1"/>
    <row r="153" s="12" customFormat="1" ht="12" customHeight="1"/>
    <row r="154" s="12" customFormat="1" ht="12" customHeight="1"/>
    <row r="155" s="12" customFormat="1" ht="12" customHeight="1"/>
    <row r="156" s="12" customFormat="1" ht="12" customHeight="1"/>
    <row r="157" s="12" customFormat="1" ht="12" customHeight="1"/>
    <row r="158" s="12" customFormat="1" ht="12" customHeight="1"/>
    <row r="159" s="12" customFormat="1" ht="12" customHeight="1"/>
    <row r="160" s="12" customFormat="1" ht="12" customHeight="1"/>
    <row r="161" s="12" customFormat="1" ht="12" customHeight="1"/>
    <row r="162" s="12" customFormat="1" ht="12" customHeight="1"/>
    <row r="163" s="12" customFormat="1" ht="12" customHeight="1"/>
    <row r="164" s="12" customFormat="1" ht="12" customHeight="1"/>
    <row r="165" s="12" customFormat="1" ht="12" customHeight="1"/>
    <row r="166" s="12" customFormat="1" ht="12" customHeight="1"/>
    <row r="167" s="12" customFormat="1" ht="12" customHeight="1"/>
    <row r="168" s="12" customFormat="1" ht="12" customHeight="1"/>
    <row r="169" s="12" customFormat="1" ht="12" customHeight="1"/>
    <row r="170" s="12" customFormat="1" ht="12" customHeight="1"/>
    <row r="171" s="12" customFormat="1" ht="12" customHeight="1"/>
    <row r="172" s="12" customFormat="1" ht="12" customHeight="1"/>
    <row r="173" s="12" customFormat="1" ht="12" customHeight="1"/>
    <row r="174" s="12" customFormat="1" ht="12" customHeight="1"/>
    <row r="175" s="12" customFormat="1" ht="12" customHeight="1"/>
    <row r="176" s="12" customFormat="1" ht="12" customHeight="1"/>
    <row r="177" s="12" customFormat="1" ht="12" customHeight="1"/>
    <row r="178" s="12" customFormat="1" ht="12" customHeight="1"/>
    <row r="179" s="12" customFormat="1" ht="12" customHeight="1"/>
    <row r="180" s="12" customFormat="1" ht="12" customHeight="1"/>
    <row r="181" s="12" customFormat="1" ht="12" customHeight="1"/>
    <row r="182" s="12" customFormat="1" ht="12" customHeight="1"/>
    <row r="183" s="12" customFormat="1" ht="12" customHeight="1"/>
    <row r="184" s="12" customFormat="1" ht="12" customHeight="1"/>
    <row r="185" s="12" customFormat="1" ht="12" customHeight="1"/>
    <row r="186" s="12" customFormat="1" ht="12" customHeight="1"/>
    <row r="187" s="12" customFormat="1" ht="12" customHeight="1"/>
    <row r="188" s="12" customFormat="1" ht="12" customHeight="1"/>
    <row r="189" s="12" customFormat="1" ht="12" customHeight="1"/>
    <row r="190" s="12" customFormat="1" ht="12" customHeight="1"/>
    <row r="191" s="12" customFormat="1" ht="12" customHeight="1"/>
    <row r="192" s="12" customFormat="1" ht="12" customHeight="1"/>
    <row r="193" s="12" customFormat="1" ht="12" customHeight="1"/>
    <row r="194" s="12" customFormat="1" ht="12" customHeight="1"/>
    <row r="195" s="12" customFormat="1" ht="12" customHeight="1"/>
    <row r="196" s="12" customFormat="1" ht="12" customHeight="1"/>
    <row r="197" s="12" customFormat="1" ht="12" customHeight="1"/>
    <row r="198" s="12" customFormat="1" ht="12" customHeight="1"/>
    <row r="199" s="12" customFormat="1" ht="12" customHeight="1"/>
    <row r="200" s="12" customFormat="1" ht="12" customHeight="1"/>
    <row r="201" s="12" customFormat="1" ht="12" customHeight="1"/>
    <row r="202" s="12" customFormat="1" ht="12" customHeight="1"/>
    <row r="203" s="12" customFormat="1" ht="12" customHeight="1"/>
    <row r="204" s="12" customFormat="1" ht="12" customHeight="1"/>
    <row r="205" s="12" customFormat="1" ht="12" customHeight="1"/>
    <row r="206" s="12" customFormat="1" ht="12" customHeight="1"/>
    <row r="207" s="12" customFormat="1" ht="12" customHeight="1"/>
    <row r="208" s="12" customFormat="1" ht="12" customHeight="1"/>
    <row r="209" s="12" customFormat="1" ht="12" customHeight="1"/>
    <row r="210" s="12" customFormat="1" ht="12" customHeight="1"/>
    <row r="211" s="12" customFormat="1" ht="12" customHeight="1"/>
    <row r="212" s="12" customFormat="1" ht="12" customHeight="1"/>
    <row r="213" s="12" customFormat="1" ht="12" customHeight="1"/>
    <row r="214" s="12" customFormat="1" ht="12" customHeight="1"/>
    <row r="215" s="12" customFormat="1" ht="12" customHeight="1"/>
    <row r="216" s="12" customFormat="1" ht="12" customHeight="1"/>
    <row r="217" s="12" customFormat="1" ht="12" customHeight="1"/>
    <row r="218" s="12" customFormat="1" ht="12" customHeight="1"/>
    <row r="219" s="12" customFormat="1" ht="12" customHeight="1"/>
    <row r="220" s="12" customFormat="1" ht="12" customHeight="1"/>
    <row r="221" s="12" customFormat="1" ht="12" customHeight="1"/>
    <row r="222" s="12" customFormat="1" ht="12" customHeight="1"/>
    <row r="223" s="12" customFormat="1" ht="12" customHeight="1"/>
    <row r="224" s="12" customFormat="1" ht="12" customHeight="1"/>
    <row r="225" s="12" customFormat="1" ht="12" customHeight="1"/>
    <row r="226" s="12" customFormat="1" ht="12" customHeight="1"/>
    <row r="227" s="12" customFormat="1" ht="12" customHeight="1"/>
    <row r="228" s="12" customFormat="1" ht="12" customHeight="1"/>
    <row r="229" s="12" customFormat="1" ht="12" customHeight="1"/>
    <row r="230" s="12" customFormat="1" ht="12" customHeight="1"/>
    <row r="231" s="12" customFormat="1" ht="12" customHeight="1"/>
    <row r="232" s="12" customFormat="1" ht="12" customHeight="1"/>
    <row r="233" s="12" customFormat="1" ht="12" customHeight="1"/>
    <row r="234" s="12" customFormat="1" ht="12" customHeight="1"/>
    <row r="235" s="12" customFormat="1" ht="12" customHeight="1"/>
    <row r="236" s="12" customFormat="1" ht="12" customHeight="1"/>
    <row r="237" s="12" customFormat="1" ht="12" customHeight="1"/>
    <row r="238" s="12" customFormat="1" ht="12" customHeight="1"/>
    <row r="239" s="12" customFormat="1" ht="12" customHeight="1"/>
    <row r="240" s="12" customFormat="1" ht="12" customHeight="1"/>
    <row r="241" s="12" customFormat="1" ht="12" customHeight="1"/>
    <row r="242" s="12" customFormat="1" ht="12" customHeight="1"/>
    <row r="243" s="12" customFormat="1" ht="12" customHeight="1"/>
    <row r="244" s="12" customFormat="1" ht="12" customHeight="1"/>
    <row r="245" s="12" customFormat="1" ht="12" customHeight="1"/>
    <row r="246" s="12" customFormat="1" ht="12" customHeight="1"/>
    <row r="247" s="12" customFormat="1" ht="12" customHeight="1"/>
    <row r="248" s="12" customFormat="1" ht="12" customHeight="1"/>
    <row r="249" s="12" customFormat="1" ht="12" customHeight="1"/>
    <row r="250" s="12" customFormat="1" ht="12" customHeight="1"/>
    <row r="251" s="12" customFormat="1" ht="12" customHeight="1"/>
    <row r="252" s="12" customFormat="1" ht="12" customHeight="1"/>
    <row r="253" s="12" customFormat="1" ht="12" customHeight="1"/>
    <row r="254" s="12" customFormat="1" ht="12" customHeight="1"/>
    <row r="255" s="12" customFormat="1" ht="12" customHeight="1"/>
    <row r="256" s="12" customFormat="1" ht="12" customHeight="1"/>
    <row r="257" s="12" customFormat="1" ht="12" customHeight="1"/>
    <row r="258" s="12" customFormat="1" ht="12" customHeight="1"/>
    <row r="259" s="12" customFormat="1" ht="12" customHeight="1"/>
    <row r="260" s="12" customFormat="1" ht="12" customHeight="1"/>
    <row r="261" s="12" customFormat="1" ht="12" customHeight="1"/>
    <row r="262" s="12" customFormat="1" ht="12" customHeight="1"/>
    <row r="263" s="12" customFormat="1" ht="12" customHeight="1"/>
    <row r="264" s="12" customFormat="1" ht="12" customHeight="1"/>
    <row r="265" s="12" customFormat="1" ht="12" customHeight="1"/>
    <row r="266" s="12" customFormat="1" ht="12" customHeight="1"/>
    <row r="267" s="12" customFormat="1" ht="12" customHeight="1"/>
    <row r="268" s="12" customFormat="1" ht="12" customHeight="1"/>
    <row r="269" s="12" customFormat="1" ht="12" customHeight="1"/>
    <row r="270" s="12" customFormat="1" ht="12" customHeight="1"/>
    <row r="271" s="12" customFormat="1" ht="12" customHeight="1"/>
    <row r="272" s="12" customFormat="1" ht="12" customHeight="1"/>
    <row r="273" s="12" customFormat="1" ht="12" customHeight="1"/>
    <row r="274" s="12" customFormat="1" ht="12" customHeight="1"/>
    <row r="275" s="12" customFormat="1" ht="12" customHeight="1"/>
    <row r="276" s="12" customFormat="1" ht="12" customHeight="1"/>
    <row r="277" s="12" customFormat="1" ht="12" customHeight="1"/>
    <row r="278" s="12" customFormat="1" ht="12" customHeight="1"/>
    <row r="279" s="12" customFormat="1" ht="12" customHeight="1"/>
    <row r="280" s="12" customFormat="1" ht="12" customHeight="1"/>
    <row r="281" s="12" customFormat="1" ht="12" customHeight="1"/>
    <row r="282" s="12" customFormat="1" ht="12" customHeight="1"/>
    <row r="283" s="12" customFormat="1" ht="12" customHeight="1"/>
    <row r="284" s="12" customFormat="1" ht="12" customHeight="1"/>
    <row r="285" s="12" customFormat="1" ht="12" customHeight="1"/>
    <row r="286" s="12" customFormat="1" ht="12" customHeight="1"/>
    <row r="287" s="12" customFormat="1" ht="12" customHeight="1"/>
    <row r="288" s="12" customFormat="1" ht="12" customHeight="1"/>
    <row r="289" s="12" customFormat="1" ht="12" customHeight="1"/>
    <row r="290" s="12" customFormat="1" ht="12" customHeight="1"/>
    <row r="291" s="12" customFormat="1" ht="12" customHeight="1"/>
    <row r="292" s="12" customFormat="1" ht="12" customHeight="1"/>
    <row r="293" s="12" customFormat="1" ht="12" customHeight="1"/>
    <row r="294" s="12" customFormat="1" ht="12" customHeight="1"/>
    <row r="295" s="12" customFormat="1" ht="12" customHeight="1"/>
    <row r="296" s="12" customFormat="1" ht="12" customHeight="1"/>
    <row r="297" s="12" customFormat="1" ht="12" customHeight="1"/>
    <row r="298" s="12" customFormat="1" ht="12" customHeight="1"/>
    <row r="299" s="12" customFormat="1" ht="12" customHeight="1"/>
    <row r="300" s="12" customFormat="1" ht="12" customHeight="1"/>
    <row r="301" s="12" customFormat="1" ht="12" customHeight="1"/>
    <row r="302" s="12" customFormat="1" ht="12" customHeight="1"/>
    <row r="303" s="12" customFormat="1" ht="12" customHeight="1"/>
    <row r="304" s="12" customFormat="1" ht="12" customHeight="1"/>
    <row r="305" s="12" customFormat="1" ht="12" customHeight="1"/>
    <row r="306" s="12" customFormat="1" ht="12" customHeight="1"/>
    <row r="307" s="12" customFormat="1" ht="12" customHeight="1"/>
    <row r="308" s="12" customFormat="1" ht="12" customHeight="1"/>
    <row r="309" s="12" customFormat="1" ht="12" customHeight="1"/>
    <row r="310" s="12" customFormat="1" ht="12" customHeight="1"/>
    <row r="311" s="12" customFormat="1" ht="12" customHeight="1"/>
    <row r="312" s="12" customFormat="1" ht="12" customHeight="1"/>
    <row r="313" s="12" customFormat="1" ht="12" customHeight="1"/>
    <row r="314" s="12" customFormat="1" ht="12" customHeight="1"/>
    <row r="315" s="12" customFormat="1" ht="12" customHeight="1"/>
    <row r="316" s="12" customFormat="1" ht="12" customHeight="1"/>
    <row r="317" s="12" customFormat="1" ht="12" customHeight="1"/>
    <row r="318" s="12" customFormat="1" ht="12" customHeight="1"/>
    <row r="319" s="12" customFormat="1" ht="12" customHeight="1"/>
    <row r="320" s="12" customFormat="1" ht="12" customHeight="1"/>
    <row r="321" s="12" customFormat="1" ht="12" customHeight="1"/>
    <row r="322" s="12" customFormat="1" ht="12" customHeight="1"/>
    <row r="323" s="12" customFormat="1" ht="12" customHeight="1"/>
    <row r="324" s="12" customFormat="1" ht="12" customHeight="1"/>
    <row r="325" s="12" customFormat="1" ht="12" customHeight="1"/>
    <row r="326" s="12" customFormat="1" ht="12" customHeight="1"/>
    <row r="327" s="12" customFormat="1" ht="12" customHeight="1"/>
    <row r="328" s="12" customFormat="1" ht="12" customHeight="1"/>
    <row r="329" s="12" customFormat="1" ht="12" customHeight="1"/>
    <row r="330" s="12" customFormat="1" ht="12" customHeight="1"/>
    <row r="331" s="12" customFormat="1" ht="12" customHeight="1"/>
    <row r="332" s="12" customFormat="1" ht="12" customHeight="1"/>
    <row r="333" s="12" customFormat="1" ht="12" customHeight="1"/>
    <row r="334" s="12" customFormat="1" ht="12" customHeight="1"/>
    <row r="335" s="12" customFormat="1" ht="12" customHeight="1"/>
    <row r="336" s="12" customFormat="1" ht="12" customHeight="1"/>
    <row r="337" s="12" customFormat="1" ht="12" customHeight="1"/>
    <row r="338" s="12" customFormat="1" ht="12" customHeight="1"/>
    <row r="339" s="12" customFormat="1" ht="12" customHeight="1"/>
    <row r="340" s="12" customFormat="1" ht="12" customHeight="1"/>
    <row r="341" s="12" customFormat="1" ht="12" customHeight="1"/>
    <row r="342" s="12" customFormat="1" ht="12" customHeight="1"/>
    <row r="343" s="12" customFormat="1" ht="12" customHeight="1"/>
    <row r="344" s="12" customFormat="1" ht="12" customHeight="1"/>
    <row r="345" s="12" customFormat="1" ht="12" customHeight="1"/>
    <row r="346" s="12" customFormat="1" ht="12" customHeight="1"/>
    <row r="347" s="12" customFormat="1" ht="12" customHeight="1"/>
    <row r="348" s="12" customFormat="1" ht="12" customHeight="1"/>
    <row r="349" s="12" customFormat="1" ht="12" customHeight="1"/>
    <row r="350" s="12" customFormat="1" ht="12" customHeight="1"/>
    <row r="351" s="12" customFormat="1" ht="12" customHeight="1"/>
    <row r="352" s="12" customFormat="1" ht="12" customHeight="1"/>
    <row r="353" s="12" customFormat="1" ht="12" customHeight="1"/>
    <row r="354" s="12" customFormat="1" ht="12" customHeight="1"/>
    <row r="355" s="12" customFormat="1" ht="12" customHeight="1"/>
    <row r="356" s="12" customFormat="1" ht="12" customHeight="1"/>
    <row r="357" s="12" customFormat="1" ht="12" customHeight="1"/>
    <row r="358" s="12" customFormat="1" ht="12" customHeight="1"/>
    <row r="359" s="12" customFormat="1" ht="12" customHeight="1"/>
    <row r="360" s="12" customFormat="1" ht="12" customHeight="1"/>
    <row r="361" s="12" customFormat="1" ht="12" customHeight="1"/>
    <row r="362" s="12" customFormat="1" ht="12" customHeight="1"/>
    <row r="363" s="12" customFormat="1" ht="12" customHeight="1"/>
    <row r="364" s="12" customFormat="1" ht="12" customHeight="1"/>
    <row r="365" s="12" customFormat="1" ht="12" customHeight="1"/>
    <row r="366" s="12" customFormat="1" ht="12" customHeight="1"/>
    <row r="367" s="12" customFormat="1" ht="12" customHeight="1"/>
    <row r="368" s="12" customFormat="1" ht="12" customHeight="1"/>
    <row r="369" s="12" customFormat="1" ht="12" customHeight="1"/>
    <row r="370" s="12" customFormat="1" ht="12" customHeight="1"/>
    <row r="371" s="12" customFormat="1" ht="12" customHeight="1"/>
    <row r="372" s="12" customFormat="1" ht="12" customHeight="1"/>
    <row r="373" s="12" customFormat="1" ht="12" customHeight="1"/>
    <row r="374" s="12" customFormat="1" ht="12" customHeight="1"/>
    <row r="375" s="12" customFormat="1" ht="12" customHeight="1"/>
    <row r="376" s="12" customFormat="1" ht="12" customHeight="1"/>
    <row r="377" s="12" customFormat="1" ht="12" customHeight="1"/>
    <row r="378" s="12" customFormat="1" ht="12" customHeight="1"/>
    <row r="379" s="12" customFormat="1" ht="12" customHeight="1"/>
    <row r="380" s="12" customFormat="1" ht="12" customHeight="1"/>
    <row r="381" s="12" customFormat="1" ht="12" customHeight="1"/>
    <row r="382" s="12" customFormat="1" ht="12" customHeight="1"/>
    <row r="383" s="12" customFormat="1" ht="12" customHeight="1"/>
    <row r="384" s="12" customFormat="1" ht="12" customHeight="1"/>
    <row r="385" s="12" customFormat="1" ht="12" customHeight="1"/>
    <row r="386" s="12" customFormat="1" ht="12" customHeight="1"/>
    <row r="387" s="12" customFormat="1" ht="12" customHeight="1"/>
    <row r="388" s="12" customFormat="1" ht="12" customHeight="1"/>
    <row r="389" s="12" customFormat="1" ht="12" customHeight="1"/>
    <row r="390" s="12" customFormat="1" ht="12" customHeight="1"/>
    <row r="391" s="12" customFormat="1" ht="12" customHeight="1"/>
    <row r="392" s="12" customFormat="1" ht="12" customHeight="1"/>
    <row r="393" s="12" customFormat="1" ht="12" customHeight="1"/>
    <row r="394" s="12" customFormat="1" ht="12" customHeight="1"/>
    <row r="395" s="12" customFormat="1" ht="12" customHeight="1"/>
    <row r="396" s="12" customFormat="1" ht="12" customHeight="1"/>
    <row r="397" s="12" customFormat="1" ht="12" customHeight="1"/>
    <row r="398" s="12" customFormat="1" ht="12" customHeight="1"/>
    <row r="399" s="12" customFormat="1" ht="12" customHeight="1"/>
    <row r="400" s="12" customFormat="1" ht="12" customHeight="1"/>
    <row r="401" s="12" customFormat="1" ht="12" customHeight="1"/>
    <row r="402" s="12" customFormat="1" ht="12" customHeight="1"/>
    <row r="403" s="12" customFormat="1" ht="12" customHeight="1"/>
    <row r="404" s="12" customFormat="1" ht="12" customHeight="1"/>
    <row r="405" s="12" customFormat="1" ht="12" customHeight="1"/>
    <row r="406" s="12" customFormat="1" ht="12" customHeight="1"/>
    <row r="407" s="12" customFormat="1" ht="12" customHeight="1"/>
    <row r="408" s="12" customFormat="1" ht="12" customHeight="1"/>
    <row r="409" s="12" customFormat="1" ht="12" customHeight="1"/>
    <row r="410" s="12" customFormat="1" ht="12" customHeight="1"/>
    <row r="411" s="12" customFormat="1" ht="12" customHeight="1"/>
    <row r="412" s="12" customFormat="1" ht="12" customHeight="1"/>
    <row r="413" s="12" customFormat="1" ht="12" customHeight="1"/>
    <row r="414" s="12" customFormat="1" ht="12" customHeight="1"/>
    <row r="415" s="12" customFormat="1" ht="12" customHeight="1"/>
    <row r="416" s="12" customFormat="1" ht="12" customHeight="1"/>
    <row r="417" s="12" customFormat="1" ht="12" customHeight="1"/>
    <row r="418" s="12" customFormat="1" ht="12" customHeight="1"/>
    <row r="419" s="12" customFormat="1" ht="12" customHeight="1"/>
    <row r="420" s="12" customFormat="1" ht="12" customHeight="1"/>
    <row r="421" s="12" customFormat="1" ht="12" customHeight="1"/>
    <row r="422" s="12" customFormat="1" ht="12" customHeight="1"/>
    <row r="423" s="12" customFormat="1" ht="12" customHeight="1"/>
    <row r="424" s="12" customFormat="1" ht="12" customHeight="1"/>
    <row r="425" s="12" customFormat="1" ht="12" customHeight="1"/>
    <row r="426" s="12" customFormat="1" ht="12" customHeight="1"/>
    <row r="427" s="12" customFormat="1" ht="12" customHeight="1"/>
    <row r="428" s="12" customFormat="1" ht="12" customHeight="1"/>
    <row r="429" s="12" customFormat="1" ht="12" customHeight="1"/>
    <row r="430" s="12" customFormat="1" ht="12" customHeight="1"/>
    <row r="431" s="12" customFormat="1" ht="12" customHeight="1"/>
    <row r="432" s="12" customFormat="1" ht="12" customHeight="1"/>
    <row r="433" s="12" customFormat="1" ht="12" customHeight="1"/>
    <row r="434" s="12" customFormat="1" ht="12" customHeight="1"/>
    <row r="435" s="12" customFormat="1" ht="12" customHeight="1"/>
    <row r="436" s="12" customFormat="1" ht="12" customHeight="1"/>
    <row r="437" s="12" customFormat="1" ht="12" customHeight="1"/>
    <row r="438" s="12" customFormat="1" ht="12" customHeight="1"/>
    <row r="439" s="12" customFormat="1" ht="12" customHeight="1"/>
    <row r="440" s="12" customFormat="1" ht="12" customHeight="1"/>
    <row r="441" s="12" customFormat="1" ht="12" customHeight="1"/>
    <row r="442" s="12" customFormat="1" ht="12" customHeight="1"/>
    <row r="443" s="12" customFormat="1" ht="12" customHeight="1"/>
    <row r="444" s="12" customFormat="1" ht="12" customHeight="1"/>
    <row r="445" s="12" customFormat="1" ht="12" customHeight="1"/>
    <row r="446" s="12" customFormat="1" ht="12" customHeight="1"/>
    <row r="447" s="12" customFormat="1" ht="12" customHeight="1"/>
    <row r="448" s="12" customFormat="1" ht="12" customHeight="1"/>
    <row r="449" s="12" customFormat="1" ht="12" customHeight="1"/>
    <row r="450" s="12" customFormat="1" ht="12" customHeight="1"/>
    <row r="451" s="12" customFormat="1" ht="12" customHeight="1"/>
    <row r="452" s="12" customFormat="1" ht="12" customHeight="1"/>
    <row r="453" s="12" customFormat="1" ht="12" customHeight="1"/>
    <row r="454" s="12" customFormat="1" ht="12" customHeight="1"/>
    <row r="455" s="12" customFormat="1" ht="12" customHeight="1"/>
    <row r="456" s="12" customFormat="1" ht="12" customHeight="1"/>
    <row r="457" s="12" customFormat="1" ht="12" customHeight="1"/>
    <row r="458" s="12" customFormat="1" ht="12" customHeight="1"/>
    <row r="459" s="12" customFormat="1" ht="12" customHeight="1"/>
    <row r="460" s="12" customFormat="1" ht="12" customHeight="1"/>
    <row r="461" s="12" customFormat="1" ht="12" customHeight="1"/>
    <row r="462" s="12" customFormat="1" ht="12" customHeight="1"/>
    <row r="463" s="12" customFormat="1" ht="12" customHeight="1"/>
    <row r="464" s="12" customFormat="1" ht="12" customHeight="1"/>
    <row r="465" s="12" customFormat="1" ht="12" customHeight="1"/>
    <row r="466" s="12" customFormat="1" ht="12" customHeight="1"/>
    <row r="467" s="12" customFormat="1" ht="12" customHeight="1"/>
    <row r="468" s="12" customFormat="1" ht="12" customHeight="1"/>
    <row r="469" s="12" customFormat="1" ht="12" customHeight="1"/>
    <row r="470" s="12" customFormat="1" ht="12" customHeight="1"/>
    <row r="471" s="12" customFormat="1" ht="12" customHeight="1"/>
    <row r="472" s="12" customFormat="1" ht="12" customHeight="1"/>
    <row r="473" s="12" customFormat="1" ht="12" customHeight="1"/>
    <row r="474" s="12" customFormat="1" ht="12" customHeight="1"/>
    <row r="475" s="12" customFormat="1" ht="12" customHeight="1"/>
    <row r="476" s="12" customFormat="1" ht="12" customHeight="1"/>
    <row r="477" s="12" customFormat="1" ht="12" customHeight="1"/>
    <row r="478" s="12" customFormat="1" ht="12" customHeight="1"/>
    <row r="479" s="12" customFormat="1" ht="12" customHeight="1"/>
    <row r="480" s="12" customFormat="1" ht="12" customHeight="1"/>
    <row r="481" s="12" customFormat="1" ht="12" customHeight="1"/>
    <row r="482" s="12" customFormat="1" ht="12" customHeight="1"/>
    <row r="483" s="12" customFormat="1" ht="12" customHeight="1"/>
    <row r="484" s="12" customFormat="1" ht="12" customHeight="1"/>
    <row r="485" s="12" customFormat="1" ht="12" customHeight="1"/>
    <row r="486" s="12" customFormat="1" ht="12" customHeight="1"/>
    <row r="487" s="12" customFormat="1" ht="12" customHeight="1"/>
    <row r="488" s="12" customFormat="1" ht="12" customHeight="1"/>
    <row r="489" s="12" customFormat="1" ht="12" customHeight="1"/>
    <row r="490" s="12" customFormat="1" ht="12" customHeight="1"/>
    <row r="491" s="12" customFormat="1" ht="12" customHeight="1"/>
    <row r="492" s="12" customFormat="1" ht="12" customHeight="1"/>
    <row r="493" s="12" customFormat="1" ht="12" customHeight="1"/>
    <row r="494" s="12" customFormat="1" ht="12" customHeight="1"/>
    <row r="495" s="12" customFormat="1" ht="12" customHeight="1"/>
    <row r="496" s="12" customFormat="1" ht="12" customHeight="1"/>
    <row r="497" s="12" customFormat="1" ht="12" customHeight="1"/>
    <row r="498" s="12" customFormat="1" ht="12" customHeight="1"/>
    <row r="499" s="12" customFormat="1" ht="12" customHeight="1"/>
    <row r="500" s="12" customFormat="1" ht="12" customHeight="1"/>
    <row r="501" s="12" customFormat="1" ht="12" customHeight="1"/>
    <row r="502" s="12" customFormat="1" ht="12" customHeight="1"/>
    <row r="503" s="12" customFormat="1" ht="12" customHeight="1"/>
    <row r="504" s="12" customFormat="1" ht="12" customHeight="1"/>
    <row r="505" s="12" customFormat="1" ht="12" customHeight="1"/>
    <row r="506" s="12" customFormat="1" ht="12" customHeight="1"/>
    <row r="507" s="12" customFormat="1" ht="12" customHeight="1"/>
    <row r="508" s="12" customFormat="1" ht="12" customHeight="1"/>
    <row r="509" s="12" customFormat="1" ht="12" customHeight="1"/>
    <row r="510" s="12" customFormat="1" ht="12" customHeight="1"/>
    <row r="511" s="12" customFormat="1" ht="12" customHeight="1"/>
    <row r="512" s="12" customFormat="1" ht="12" customHeight="1"/>
    <row r="513" s="12" customFormat="1" ht="12" customHeight="1"/>
    <row r="514" s="12" customFormat="1" ht="12" customHeight="1"/>
    <row r="515" s="12" customFormat="1" ht="12" customHeight="1"/>
    <row r="516" s="12" customFormat="1" ht="12" customHeight="1"/>
    <row r="517" s="12" customFormat="1" ht="12" customHeight="1"/>
    <row r="518" s="12" customFormat="1" ht="12" customHeight="1"/>
    <row r="519" s="12" customFormat="1" ht="12" customHeight="1"/>
    <row r="520" s="12" customFormat="1" ht="12" customHeight="1"/>
    <row r="521" s="12" customFormat="1" ht="12" customHeight="1"/>
    <row r="522" s="12" customFormat="1" ht="12" customHeight="1"/>
    <row r="523" s="12" customFormat="1" ht="12" customHeight="1"/>
    <row r="524" s="12" customFormat="1" ht="12" customHeight="1"/>
    <row r="525" s="12" customFormat="1" ht="12" customHeight="1"/>
    <row r="526" s="12" customFormat="1" ht="12" customHeight="1"/>
    <row r="527" s="12" customFormat="1" ht="12" customHeight="1"/>
    <row r="528" s="12" customFormat="1" ht="12" customHeight="1"/>
    <row r="529" s="12" customFormat="1" ht="12" customHeight="1"/>
    <row r="530" s="12" customFormat="1" ht="12" customHeight="1"/>
    <row r="531" s="12" customFormat="1" ht="12" customHeight="1"/>
    <row r="532" s="12" customFormat="1" ht="12" customHeight="1"/>
    <row r="533" s="12" customFormat="1" ht="12" customHeight="1"/>
    <row r="534" s="12" customFormat="1" ht="12" customHeight="1"/>
    <row r="535" s="12" customFormat="1" ht="12" customHeight="1"/>
    <row r="536" s="12" customFormat="1" ht="12" customHeight="1"/>
    <row r="537" s="12" customFormat="1" ht="12" customHeight="1"/>
    <row r="538" s="12" customFormat="1" ht="12" customHeight="1"/>
    <row r="539" s="12" customFormat="1" ht="12" customHeight="1"/>
    <row r="540" s="12" customFormat="1" ht="12" customHeight="1"/>
    <row r="541" s="12" customFormat="1" ht="12" customHeight="1"/>
    <row r="542" s="12" customFormat="1" ht="12" customHeight="1"/>
    <row r="543" s="12" customFormat="1" ht="12" customHeight="1"/>
    <row r="544" s="12" customFormat="1" ht="12" customHeight="1"/>
    <row r="545" s="12" customFormat="1" ht="12" customHeight="1"/>
    <row r="546" s="12" customFormat="1" ht="12" customHeight="1"/>
    <row r="547" s="12" customFormat="1" ht="12" customHeight="1"/>
    <row r="548" s="12" customFormat="1" ht="12" customHeight="1"/>
    <row r="549" s="12" customFormat="1" ht="12" customHeight="1"/>
    <row r="550" s="12" customFormat="1" ht="12" customHeight="1"/>
    <row r="551" s="12" customFormat="1" ht="12" customHeight="1"/>
    <row r="552" s="12" customFormat="1" ht="12" customHeight="1"/>
    <row r="553" s="12" customFormat="1" ht="12" customHeight="1"/>
    <row r="554" s="12" customFormat="1" ht="12" customHeight="1"/>
    <row r="555" s="12" customFormat="1" ht="12" customHeight="1"/>
    <row r="556" s="12" customFormat="1" ht="12" customHeight="1"/>
    <row r="557" s="12" customFormat="1" ht="12" customHeight="1"/>
    <row r="558" s="12" customFormat="1" ht="12" customHeight="1"/>
    <row r="559" s="12" customFormat="1" ht="12" customHeight="1"/>
    <row r="560" s="12" customFormat="1" ht="12" customHeight="1"/>
    <row r="561" s="12" customFormat="1" ht="12" customHeight="1"/>
    <row r="562" s="12" customFormat="1" ht="12" customHeight="1"/>
    <row r="563" s="12" customFormat="1" ht="12" customHeight="1"/>
    <row r="564" s="12" customFormat="1" ht="12" customHeight="1"/>
    <row r="565" s="12" customFormat="1" ht="12" customHeight="1"/>
    <row r="566" s="12" customFormat="1" ht="12" customHeight="1"/>
    <row r="567" s="12" customFormat="1" ht="12" customHeight="1"/>
    <row r="568" s="12" customFormat="1" ht="12" customHeight="1"/>
    <row r="569" s="12" customFormat="1" ht="12" customHeight="1"/>
    <row r="570" s="12" customFormat="1" ht="12" customHeight="1"/>
    <row r="571" s="12" customFormat="1" ht="12" customHeight="1"/>
    <row r="572" s="12" customFormat="1" ht="12" customHeight="1"/>
    <row r="573" s="12" customFormat="1" ht="12" customHeight="1"/>
    <row r="574" s="12" customFormat="1" ht="12" customHeight="1"/>
    <row r="575" s="12" customFormat="1" ht="12" customHeight="1"/>
    <row r="576" s="12" customFormat="1" ht="12" customHeight="1"/>
    <row r="577" s="12" customFormat="1" ht="12" customHeight="1"/>
    <row r="578" s="12" customFormat="1" ht="12" customHeight="1"/>
    <row r="579" s="12" customFormat="1" ht="12" customHeight="1"/>
    <row r="580" s="12" customFormat="1" ht="12" customHeight="1"/>
    <row r="581" s="12" customFormat="1" ht="12" customHeight="1"/>
    <row r="582" s="12" customFormat="1" ht="12" customHeight="1"/>
    <row r="583" s="12" customFormat="1" ht="12" customHeight="1"/>
    <row r="584" s="12" customFormat="1" ht="12" customHeight="1"/>
    <row r="585" s="12" customFormat="1" ht="12" customHeight="1"/>
    <row r="586" s="12" customFormat="1" ht="12" customHeight="1"/>
    <row r="587" s="12" customFormat="1" ht="12" customHeight="1"/>
    <row r="588" s="12" customFormat="1" ht="12" customHeight="1"/>
    <row r="589" s="12" customFormat="1" ht="12" customHeight="1"/>
    <row r="590" s="12" customFormat="1" ht="12" customHeight="1"/>
    <row r="591" s="12" customFormat="1" ht="12" customHeight="1"/>
    <row r="592" s="12" customFormat="1" ht="12" customHeight="1"/>
    <row r="593" s="12" customFormat="1" ht="12" customHeight="1"/>
    <row r="594" s="12" customFormat="1" ht="12" customHeight="1"/>
    <row r="595" s="12" customFormat="1" ht="12" customHeight="1"/>
    <row r="596" s="12" customFormat="1" ht="12" customHeight="1"/>
    <row r="597" s="12" customFormat="1" ht="12" customHeight="1"/>
    <row r="598" s="12" customFormat="1" ht="12" customHeight="1"/>
    <row r="599" s="12" customFormat="1" ht="12" customHeight="1"/>
    <row r="600" s="12" customFormat="1" ht="12" customHeight="1"/>
    <row r="601" s="12" customFormat="1" ht="12" customHeight="1"/>
    <row r="602" s="12" customFormat="1" ht="12" customHeight="1"/>
    <row r="603" s="12" customFormat="1" ht="12" customHeight="1"/>
    <row r="604" s="12" customFormat="1" ht="12" customHeight="1"/>
    <row r="605" s="12" customFormat="1" ht="12" customHeight="1"/>
    <row r="606" s="12" customFormat="1" ht="12" customHeight="1"/>
    <row r="607" s="12" customFormat="1" ht="12" customHeight="1"/>
    <row r="608" s="12" customFormat="1" ht="12" customHeight="1"/>
    <row r="609" s="12" customFormat="1" ht="12" customHeight="1"/>
    <row r="610" s="12" customFormat="1" ht="12" customHeight="1"/>
    <row r="611" s="12" customFormat="1" ht="12" customHeight="1"/>
    <row r="612" s="12" customFormat="1" ht="12" customHeight="1"/>
    <row r="613" s="12" customFormat="1" ht="12" customHeight="1"/>
    <row r="614" s="12" customFormat="1" ht="12" customHeight="1"/>
    <row r="615" s="12" customFormat="1" ht="12" customHeight="1"/>
    <row r="616" s="12" customFormat="1" ht="12" customHeight="1"/>
    <row r="617" s="12" customFormat="1" ht="12" customHeight="1"/>
    <row r="618" s="12" customFormat="1" ht="12" customHeight="1"/>
    <row r="619" s="12" customFormat="1" ht="12" customHeight="1"/>
    <row r="620" s="12" customFormat="1" ht="12" customHeight="1"/>
    <row r="621" s="12" customFormat="1" ht="12" customHeight="1"/>
    <row r="622" s="12" customFormat="1" ht="12" customHeight="1"/>
    <row r="623" s="12" customFormat="1" ht="12" customHeight="1"/>
    <row r="624" s="12" customFormat="1" ht="12" customHeight="1"/>
    <row r="625" s="12" customFormat="1" ht="12" customHeight="1"/>
    <row r="626" s="12" customFormat="1" ht="12" customHeight="1"/>
    <row r="627" s="12" customFormat="1" ht="12" customHeight="1"/>
    <row r="628" s="12" customFormat="1" ht="12" customHeight="1"/>
    <row r="629" s="12" customFormat="1" ht="12" customHeight="1"/>
    <row r="630" s="12" customFormat="1" ht="12" customHeight="1"/>
    <row r="631" s="12" customFormat="1" ht="12" customHeight="1"/>
    <row r="632" s="12" customFormat="1" ht="12" customHeight="1"/>
    <row r="633" s="12" customFormat="1" ht="12" customHeight="1"/>
    <row r="634" s="12" customFormat="1" ht="12" customHeight="1"/>
    <row r="635" s="12" customFormat="1" ht="12" customHeight="1"/>
    <row r="636" s="12" customFormat="1" ht="12" customHeight="1"/>
    <row r="637" s="12" customFormat="1" ht="12" customHeight="1"/>
    <row r="638" s="12" customFormat="1" ht="12" customHeight="1"/>
    <row r="639" s="12" customFormat="1" ht="12" customHeight="1"/>
    <row r="640" s="12" customFormat="1" ht="12" customHeight="1"/>
    <row r="641" s="12" customFormat="1" ht="12" customHeight="1"/>
    <row r="642" s="12" customFormat="1" ht="12" customHeight="1"/>
    <row r="643" s="12" customFormat="1" ht="12" customHeight="1"/>
    <row r="644" s="12" customFormat="1" ht="12" customHeight="1"/>
    <row r="645" s="12" customFormat="1" ht="12" customHeight="1"/>
    <row r="646" s="12" customFormat="1" ht="12" customHeight="1"/>
    <row r="647" s="12" customFormat="1" ht="12" customHeight="1"/>
    <row r="648" s="12" customFormat="1" ht="12" customHeight="1"/>
    <row r="649" s="12" customFormat="1" ht="12" customHeight="1"/>
    <row r="650" s="12" customFormat="1" ht="12" customHeight="1"/>
    <row r="651" s="12" customFormat="1" ht="12" customHeight="1"/>
    <row r="652" s="12" customFormat="1" ht="12" customHeight="1"/>
    <row r="653" s="12" customFormat="1" ht="12" customHeight="1"/>
    <row r="654" s="12" customFormat="1" ht="12" customHeight="1"/>
    <row r="655" s="12" customFormat="1" ht="12" customHeight="1"/>
    <row r="656" s="12" customFormat="1" ht="12" customHeight="1"/>
    <row r="657" s="12" customFormat="1" ht="12" customHeight="1"/>
    <row r="658" s="12" customFormat="1" ht="12" customHeight="1"/>
    <row r="659" s="12" customFormat="1" ht="12" customHeight="1"/>
    <row r="660" s="12" customFormat="1" ht="12" customHeight="1"/>
    <row r="661" s="12" customFormat="1" ht="12" customHeight="1"/>
    <row r="662" s="12" customFormat="1" ht="12" customHeight="1"/>
    <row r="663" s="12" customFormat="1" ht="12" customHeight="1"/>
    <row r="664" s="12" customFormat="1" ht="12" customHeight="1"/>
    <row r="665" s="12" customFormat="1" ht="12" customHeight="1"/>
    <row r="666" s="12" customFormat="1" ht="12" customHeight="1"/>
    <row r="667" s="12" customFormat="1" ht="12" customHeight="1"/>
    <row r="668" s="12" customFormat="1" ht="12" customHeight="1"/>
    <row r="669" s="12" customFormat="1" ht="12" customHeight="1"/>
    <row r="670" s="12" customFormat="1" ht="12" customHeight="1"/>
    <row r="671" s="12" customFormat="1" ht="12" customHeight="1"/>
    <row r="672" s="12" customFormat="1" ht="12" customHeight="1"/>
    <row r="673" s="12" customFormat="1" ht="12" customHeight="1"/>
    <row r="674" s="12" customFormat="1" ht="12" customHeight="1"/>
    <row r="675" s="12" customFormat="1" ht="12" customHeight="1"/>
    <row r="676" s="12" customFormat="1" ht="12" customHeight="1"/>
    <row r="677" s="12" customFormat="1" ht="12" customHeight="1"/>
    <row r="678" s="12" customFormat="1" ht="12" customHeight="1"/>
    <row r="679" s="12" customFormat="1" ht="12" customHeight="1"/>
    <row r="680" s="12" customFormat="1" ht="12" customHeight="1"/>
    <row r="681" s="12" customFormat="1" ht="12" customHeight="1"/>
    <row r="682" s="12" customFormat="1" ht="12" customHeight="1"/>
    <row r="683" s="12" customFormat="1" ht="12" customHeight="1"/>
    <row r="684" s="12" customFormat="1" ht="12" customHeight="1"/>
    <row r="685" s="12" customFormat="1" ht="12" customHeight="1"/>
    <row r="686" s="12" customFormat="1" ht="12" customHeight="1"/>
    <row r="687" s="12" customFormat="1" ht="12" customHeight="1"/>
    <row r="688" s="12" customFormat="1" ht="12" customHeight="1"/>
    <row r="689" s="12" customFormat="1" ht="12" customHeight="1"/>
    <row r="690" s="12" customFormat="1" ht="12" customHeight="1"/>
    <row r="691" s="12" customFormat="1" ht="12" customHeight="1"/>
    <row r="692" s="12" customFormat="1" ht="12" customHeight="1"/>
    <row r="693" s="12" customFormat="1" ht="12" customHeight="1"/>
    <row r="694" s="12" customFormat="1" ht="12" customHeight="1"/>
    <row r="695" s="12" customFormat="1" ht="12" customHeight="1"/>
    <row r="696" s="12" customFormat="1" ht="12" customHeight="1"/>
    <row r="697" s="12" customFormat="1" ht="12" customHeight="1"/>
    <row r="698" s="12" customFormat="1" ht="12" customHeight="1"/>
    <row r="699" s="12" customFormat="1" ht="12" customHeight="1"/>
    <row r="700" s="12" customFormat="1" ht="12" customHeight="1"/>
    <row r="701" s="12" customFormat="1" ht="12" customHeight="1"/>
    <row r="702" s="12" customFormat="1" ht="12" customHeight="1"/>
    <row r="703" s="12" customFormat="1" ht="12" customHeight="1"/>
    <row r="704" s="12" customFormat="1" ht="12" customHeight="1"/>
    <row r="705" s="12" customFormat="1" ht="12" customHeight="1"/>
    <row r="706" s="12" customFormat="1" ht="12" customHeight="1"/>
    <row r="707" s="12" customFormat="1" ht="12" customHeight="1"/>
    <row r="708" s="12" customFormat="1" ht="12" customHeight="1"/>
    <row r="709" s="12" customFormat="1" ht="12" customHeight="1"/>
    <row r="710" s="12" customFormat="1" ht="12" customHeight="1"/>
    <row r="711" s="12" customFormat="1" ht="12" customHeight="1"/>
    <row r="712" s="12" customFormat="1" ht="12" customHeight="1"/>
    <row r="713" s="12" customFormat="1" ht="12" customHeight="1"/>
    <row r="714" s="12" customFormat="1" ht="12" customHeight="1"/>
    <row r="715" s="12" customFormat="1" ht="12" customHeight="1"/>
    <row r="716" s="12" customFormat="1" ht="12" customHeight="1"/>
    <row r="717" s="12" customFormat="1" ht="12" customHeight="1"/>
    <row r="718" s="12" customFormat="1" ht="12" customHeight="1"/>
    <row r="719" s="12" customFormat="1" ht="12" customHeight="1"/>
    <row r="720" s="12" customFormat="1" ht="12" customHeight="1"/>
    <row r="721" s="12" customFormat="1" ht="12" customHeight="1"/>
    <row r="722" s="12" customFormat="1" ht="12" customHeight="1"/>
    <row r="723" s="12" customFormat="1" ht="12" customHeight="1"/>
    <row r="724" s="12" customFormat="1" ht="12" customHeight="1"/>
    <row r="725" s="12" customFormat="1" ht="12" customHeight="1"/>
    <row r="726" s="12" customFormat="1" ht="12" customHeight="1"/>
    <row r="727" s="12" customFormat="1" ht="12" customHeight="1"/>
    <row r="728" s="12" customFormat="1" ht="12" customHeight="1"/>
    <row r="729" s="12" customFormat="1" ht="12" customHeight="1"/>
    <row r="730" s="12" customFormat="1" ht="12" customHeight="1"/>
    <row r="731" s="12" customFormat="1" ht="12" customHeight="1"/>
    <row r="732" s="12" customFormat="1" ht="12" customHeight="1"/>
    <row r="733" s="12" customFormat="1" ht="12" customHeight="1"/>
    <row r="734" s="12" customFormat="1" ht="12" customHeight="1"/>
    <row r="735" s="12" customFormat="1" ht="12" customHeight="1"/>
    <row r="736" s="12" customFormat="1" ht="12" customHeight="1"/>
    <row r="737" s="12" customFormat="1" ht="12" customHeight="1"/>
    <row r="738" s="12" customFormat="1" ht="12" customHeight="1"/>
    <row r="739" s="12" customFormat="1" ht="12" customHeight="1"/>
    <row r="740" s="12" customFormat="1" ht="12" customHeight="1"/>
    <row r="741" s="12" customFormat="1" ht="12" customHeight="1"/>
    <row r="742" s="12" customFormat="1" ht="12" customHeight="1"/>
    <row r="743" s="12" customFormat="1" ht="12" customHeight="1"/>
    <row r="744" s="12" customFormat="1" ht="12" customHeight="1"/>
    <row r="745" s="12" customFormat="1" ht="12" customHeight="1"/>
    <row r="746" s="12" customFormat="1" ht="12" customHeight="1"/>
    <row r="747" s="12" customFormat="1" ht="12" customHeight="1"/>
    <row r="748" s="12" customFormat="1" ht="12" customHeight="1"/>
    <row r="749" s="12" customFormat="1" ht="12" customHeight="1"/>
    <row r="750" s="12" customFormat="1" ht="12" customHeight="1"/>
    <row r="751" s="12" customFormat="1" ht="12" customHeight="1"/>
    <row r="752" s="12" customFormat="1" ht="12" customHeight="1"/>
    <row r="753" s="12" customFormat="1" ht="12" customHeight="1"/>
    <row r="754" s="12" customFormat="1" ht="12" customHeight="1"/>
    <row r="755" s="12" customFormat="1" ht="12" customHeight="1"/>
    <row r="756" s="12" customFormat="1" ht="12" customHeight="1"/>
    <row r="757" s="12" customFormat="1" ht="12" customHeight="1"/>
    <row r="758" s="12" customFormat="1" ht="12" customHeight="1"/>
    <row r="759" s="12" customFormat="1" ht="12" customHeight="1"/>
    <row r="760" s="12" customFormat="1" ht="12" customHeight="1"/>
    <row r="761" s="12" customFormat="1" ht="12" customHeight="1"/>
    <row r="762" s="12" customFormat="1" ht="12" customHeight="1"/>
    <row r="763" s="12" customFormat="1" ht="12" customHeight="1"/>
    <row r="764" s="12" customFormat="1" ht="12" customHeight="1"/>
    <row r="765" s="12" customFormat="1" ht="12" customHeight="1"/>
    <row r="766" s="12" customFormat="1" ht="12" customHeight="1"/>
    <row r="767" s="12" customFormat="1" ht="12" customHeight="1"/>
    <row r="768" s="12" customFormat="1" ht="12" customHeight="1"/>
    <row r="769" s="12" customFormat="1" ht="12" customHeight="1"/>
    <row r="770" s="12" customFormat="1" ht="12" customHeight="1"/>
    <row r="771" s="12" customFormat="1" ht="12" customHeight="1"/>
    <row r="772" s="12" customFormat="1" ht="12" customHeight="1"/>
    <row r="773" s="12" customFormat="1" ht="12" customHeight="1"/>
    <row r="774" s="12" customFormat="1" ht="12" customHeight="1"/>
    <row r="775" s="12" customFormat="1" ht="12" customHeight="1"/>
    <row r="776" s="12" customFormat="1" ht="12" customHeight="1"/>
    <row r="777" s="12" customFormat="1" ht="12" customHeight="1"/>
    <row r="778" s="12" customFormat="1" ht="12" customHeight="1"/>
    <row r="779" s="12" customFormat="1" ht="12" customHeight="1"/>
    <row r="780" s="12" customFormat="1" ht="12" customHeight="1"/>
    <row r="781" s="12" customFormat="1" ht="12" customHeight="1"/>
    <row r="782" s="12" customFormat="1" ht="12" customHeight="1"/>
    <row r="783" s="12" customFormat="1" ht="12" customHeight="1"/>
    <row r="784" s="12" customFormat="1" ht="12" customHeight="1"/>
    <row r="785" s="12" customFormat="1" ht="12" customHeight="1"/>
    <row r="786" s="12" customFormat="1" ht="12" customHeight="1"/>
    <row r="787" s="12" customFormat="1" ht="12" customHeight="1"/>
    <row r="788" s="12" customFormat="1" ht="12" customHeight="1"/>
    <row r="789" s="12" customFormat="1" ht="12" customHeight="1"/>
    <row r="790" s="12" customFormat="1" ht="12" customHeight="1"/>
    <row r="791" s="12" customFormat="1" ht="12" customHeight="1"/>
    <row r="792" s="12" customFormat="1" ht="12" customHeight="1"/>
    <row r="793" s="12" customFormat="1" ht="12" customHeight="1"/>
    <row r="794" s="12" customFormat="1" ht="12" customHeight="1"/>
    <row r="795" s="12" customFormat="1" ht="12" customHeight="1"/>
    <row r="796" s="12" customFormat="1" ht="12" customHeight="1"/>
    <row r="797" s="12" customFormat="1" ht="12" customHeight="1"/>
    <row r="798" s="12" customFormat="1" ht="12" customHeight="1"/>
    <row r="799" s="12" customFormat="1" ht="12" customHeight="1"/>
    <row r="800" s="12" customFormat="1" ht="12" customHeight="1"/>
    <row r="801" s="12" customFormat="1" ht="12" customHeight="1"/>
    <row r="802" s="12" customFormat="1" ht="12" customHeight="1"/>
    <row r="803" s="12" customFormat="1" ht="12" customHeight="1"/>
    <row r="804" s="12" customFormat="1" ht="12" customHeight="1"/>
    <row r="805" s="12" customFormat="1" ht="12" customHeight="1"/>
    <row r="806" s="12" customFormat="1" ht="12" customHeight="1"/>
    <row r="807" s="12" customFormat="1" ht="12" customHeight="1"/>
    <row r="808" s="12" customFormat="1" ht="12" customHeight="1"/>
    <row r="809" s="12" customFormat="1" ht="12" customHeight="1"/>
    <row r="810" s="12" customFormat="1" ht="12" customHeight="1"/>
    <row r="811" s="12" customFormat="1" ht="12" customHeight="1"/>
    <row r="812" s="12" customFormat="1" ht="12" customHeight="1"/>
    <row r="813" s="12" customFormat="1" ht="12" customHeight="1"/>
    <row r="814" s="12" customFormat="1" ht="12" customHeight="1"/>
    <row r="815" s="12" customFormat="1" ht="12" customHeight="1"/>
    <row r="816" s="12" customFormat="1" ht="12" customHeight="1"/>
    <row r="817" s="12" customFormat="1" ht="12" customHeight="1"/>
    <row r="818" s="12" customFormat="1" ht="12" customHeight="1"/>
    <row r="819" s="12" customFormat="1" ht="12" customHeight="1"/>
    <row r="820" s="12" customFormat="1" ht="12" customHeight="1"/>
    <row r="821" s="12" customFormat="1" ht="12" customHeight="1"/>
    <row r="822" s="12" customFormat="1" ht="12" customHeight="1"/>
    <row r="823" s="12" customFormat="1" ht="12" customHeight="1"/>
    <row r="824" s="12" customFormat="1" ht="12" customHeight="1"/>
    <row r="825" s="12" customFormat="1" ht="12" customHeight="1"/>
    <row r="826" s="12" customFormat="1" ht="12" customHeight="1"/>
    <row r="827" s="12" customFormat="1" ht="12" customHeight="1"/>
    <row r="828" s="12" customFormat="1" ht="12" customHeight="1"/>
    <row r="829" s="12" customFormat="1" ht="12" customHeight="1"/>
    <row r="830" s="12" customFormat="1" ht="12" customHeight="1"/>
    <row r="831" s="12" customFormat="1" ht="12" customHeight="1"/>
    <row r="832" s="12" customFormat="1" ht="12" customHeight="1"/>
    <row r="833" s="12" customFormat="1" ht="12" customHeight="1"/>
    <row r="834" s="12" customFormat="1" ht="12" customHeight="1"/>
    <row r="835" s="12" customFormat="1" ht="12" customHeight="1"/>
    <row r="836" s="12" customFormat="1" ht="12" customHeight="1"/>
    <row r="837" s="12" customFormat="1" ht="12" customHeight="1"/>
    <row r="838" s="12" customFormat="1" ht="12" customHeight="1"/>
    <row r="839" s="12" customFormat="1" ht="12" customHeight="1"/>
    <row r="840" s="12" customFormat="1" ht="12" customHeight="1"/>
    <row r="841" s="12" customFormat="1" ht="12" customHeight="1"/>
    <row r="842" s="12" customFormat="1" ht="12" customHeight="1"/>
    <row r="843" s="12" customFormat="1" ht="12" customHeight="1"/>
    <row r="844" s="12" customFormat="1" ht="12" customHeight="1"/>
    <row r="845" s="12" customFormat="1" ht="12" customHeight="1"/>
    <row r="846" s="12" customFormat="1" ht="12" customHeight="1"/>
    <row r="847" s="12" customFormat="1" ht="12" customHeight="1"/>
    <row r="848" s="12" customFormat="1" ht="12" customHeight="1"/>
    <row r="849" s="12" customFormat="1" ht="12" customHeight="1"/>
    <row r="850" s="12" customFormat="1" ht="12" customHeight="1"/>
    <row r="851" s="12" customFormat="1" ht="12" customHeight="1"/>
    <row r="852" s="12" customFormat="1" ht="12" customHeight="1"/>
    <row r="853" s="12" customFormat="1" ht="12" customHeight="1"/>
    <row r="854" s="12" customFormat="1" ht="12" customHeight="1"/>
    <row r="855" s="12" customFormat="1" ht="12" customHeight="1"/>
    <row r="856" s="12" customFormat="1" ht="12" customHeight="1"/>
    <row r="857" s="12" customFormat="1" ht="12" customHeight="1"/>
    <row r="858" s="12" customFormat="1" ht="12" customHeight="1"/>
    <row r="859" s="12" customFormat="1" ht="12" customHeight="1"/>
    <row r="860" s="12" customFormat="1" ht="12" customHeight="1"/>
    <row r="861" s="12" customFormat="1" ht="12" customHeight="1"/>
    <row r="862" s="12" customFormat="1" ht="12" customHeight="1"/>
    <row r="863" s="12" customFormat="1" ht="12" customHeight="1"/>
    <row r="864" s="12" customFormat="1" ht="12" customHeight="1"/>
    <row r="865" s="12" customFormat="1" ht="12" customHeight="1"/>
    <row r="866" s="12" customFormat="1" ht="12" customHeight="1"/>
    <row r="867" s="12" customFormat="1" ht="12" customHeight="1"/>
    <row r="868" s="12" customFormat="1" ht="12" customHeight="1"/>
    <row r="869" s="12" customFormat="1" ht="12" customHeight="1"/>
    <row r="870" s="12" customFormat="1" ht="12" customHeight="1"/>
    <row r="871" s="12" customFormat="1" ht="12" customHeight="1"/>
    <row r="872" s="12" customFormat="1" ht="12" customHeight="1"/>
    <row r="873" s="12" customFormat="1" ht="12" customHeight="1"/>
    <row r="874" s="12" customFormat="1" ht="12" customHeight="1"/>
    <row r="875" s="12" customFormat="1" ht="12" customHeight="1"/>
    <row r="876" s="12" customFormat="1" ht="12" customHeight="1"/>
    <row r="877" s="12" customFormat="1" ht="12" customHeight="1"/>
    <row r="878" s="12" customFormat="1" ht="12" customHeight="1"/>
    <row r="879" s="12" customFormat="1" ht="12" customHeight="1"/>
    <row r="880" s="12" customFormat="1" ht="12" customHeight="1"/>
    <row r="881" s="12" customFormat="1" ht="12" customHeight="1"/>
    <row r="882" s="12" customFormat="1" ht="12" customHeight="1"/>
    <row r="883" s="12" customFormat="1" ht="12" customHeight="1"/>
    <row r="884" s="12" customFormat="1" ht="12" customHeight="1"/>
    <row r="885" s="12" customFormat="1" ht="12" customHeight="1"/>
    <row r="886" s="12" customFormat="1" ht="12" customHeight="1"/>
    <row r="887" s="12" customFormat="1" ht="12" customHeight="1"/>
    <row r="888" s="12" customFormat="1" ht="12" customHeight="1"/>
    <row r="889" s="12" customFormat="1" ht="12" customHeight="1"/>
    <row r="890" s="12" customFormat="1" ht="12" customHeight="1"/>
    <row r="891" s="12" customFormat="1" ht="12" customHeight="1"/>
    <row r="892" s="12" customFormat="1" ht="12" customHeight="1"/>
    <row r="893" s="12" customFormat="1" ht="12" customHeight="1"/>
    <row r="894" s="12" customFormat="1" ht="12" customHeight="1"/>
    <row r="895" s="12" customFormat="1" ht="12" customHeight="1"/>
    <row r="896" s="12" customFormat="1" ht="12" customHeight="1"/>
    <row r="897" s="12" customFormat="1" ht="12" customHeight="1"/>
    <row r="898" s="12" customFormat="1" ht="12" customHeight="1"/>
    <row r="899" s="12" customFormat="1" ht="12" customHeight="1"/>
    <row r="900" s="12" customFormat="1" ht="12" customHeight="1"/>
    <row r="901" s="12" customFormat="1" ht="12" customHeight="1"/>
    <row r="902" s="12" customFormat="1" ht="12" customHeight="1"/>
    <row r="903" s="12" customFormat="1" ht="12" customHeight="1"/>
    <row r="904" s="12" customFormat="1" ht="12" customHeight="1"/>
    <row r="905" s="12" customFormat="1" ht="12" customHeight="1"/>
    <row r="906" s="12" customFormat="1" ht="12" customHeight="1"/>
    <row r="907" s="12" customFormat="1" ht="12" customHeight="1"/>
    <row r="908" s="12" customFormat="1" ht="12" customHeight="1"/>
    <row r="909" s="12" customFormat="1" ht="12" customHeight="1"/>
    <row r="910" s="12" customFormat="1" ht="12" customHeight="1"/>
    <row r="911" s="12" customFormat="1" ht="12" customHeight="1"/>
    <row r="912" s="12" customFormat="1" ht="12" customHeight="1"/>
    <row r="913" s="12" customFormat="1" ht="12" customHeight="1"/>
    <row r="914" s="12" customFormat="1" ht="12" customHeight="1"/>
    <row r="915" s="12" customFormat="1" ht="12" customHeight="1"/>
    <row r="916" s="12" customFormat="1" ht="12" customHeight="1"/>
    <row r="917" s="12" customFormat="1" ht="12" customHeight="1"/>
    <row r="918" s="12" customFormat="1" ht="12" customHeight="1"/>
    <row r="919" s="12" customFormat="1" ht="12" customHeight="1"/>
    <row r="920" s="12" customFormat="1" ht="12" customHeight="1"/>
    <row r="921" s="12" customFormat="1" ht="12" customHeight="1"/>
    <row r="922" s="12" customFormat="1" ht="12" customHeight="1"/>
    <row r="923" s="12" customFormat="1" ht="12" customHeight="1"/>
    <row r="924" s="12" customFormat="1" ht="12" customHeight="1"/>
    <row r="925" s="12" customFormat="1" ht="12" customHeight="1"/>
    <row r="926" s="12" customFormat="1" ht="12" customHeight="1"/>
    <row r="927" s="12" customFormat="1" ht="12" customHeight="1"/>
    <row r="928" s="12" customFormat="1" ht="12" customHeight="1"/>
    <row r="929" s="12" customFormat="1" ht="12" customHeight="1"/>
    <row r="930" s="12" customFormat="1" ht="12" customHeight="1"/>
    <row r="931" s="12" customFormat="1" ht="12" customHeight="1"/>
    <row r="932" s="12" customFormat="1" ht="12" customHeight="1"/>
    <row r="933" s="12" customFormat="1" ht="12" customHeight="1"/>
    <row r="934" s="12" customFormat="1" ht="12" customHeight="1"/>
    <row r="935" s="12" customFormat="1" ht="12" customHeight="1"/>
    <row r="936" s="12" customFormat="1" ht="12" customHeight="1"/>
    <row r="937" s="12" customFormat="1" ht="12" customHeight="1"/>
    <row r="938" s="12" customFormat="1" ht="12" customHeight="1"/>
    <row r="939" s="12" customFormat="1" ht="12" customHeight="1"/>
    <row r="940" s="12" customFormat="1" ht="12" customHeight="1"/>
    <row r="941" s="12" customFormat="1" ht="12" customHeight="1"/>
    <row r="942" s="12" customFormat="1" ht="12" customHeight="1"/>
    <row r="943" s="12" customFormat="1" ht="12" customHeight="1"/>
    <row r="944" s="12" customFormat="1" ht="12" customHeight="1"/>
    <row r="945" s="12" customFormat="1" ht="12" customHeight="1"/>
    <row r="946" s="12" customFormat="1" ht="12" customHeight="1"/>
    <row r="947" s="12" customFormat="1" ht="12" customHeight="1"/>
    <row r="948" s="12" customFormat="1" ht="12" customHeight="1"/>
    <row r="949" s="12" customFormat="1" ht="12" customHeight="1"/>
    <row r="950" s="12" customFormat="1" ht="12" customHeight="1"/>
    <row r="951" s="12" customFormat="1" ht="12" customHeight="1"/>
    <row r="952" s="12" customFormat="1" ht="12" customHeight="1"/>
    <row r="953" s="12" customFormat="1" ht="12" customHeight="1"/>
    <row r="954" s="12" customFormat="1" ht="12" customHeight="1"/>
    <row r="955" s="12" customFormat="1" ht="12" customHeight="1"/>
    <row r="956" s="12" customFormat="1" ht="12" customHeight="1"/>
    <row r="957" s="12" customFormat="1" ht="12" customHeight="1"/>
    <row r="958" s="12" customFormat="1" ht="12" customHeight="1"/>
    <row r="959" s="12" customFormat="1" ht="12" customHeight="1"/>
    <row r="960" s="12" customFormat="1" ht="12" customHeight="1"/>
    <row r="961" s="12" customFormat="1" ht="12" customHeight="1"/>
    <row r="962" s="12" customFormat="1" ht="12" customHeight="1"/>
    <row r="963" s="12" customFormat="1" ht="12" customHeight="1"/>
    <row r="964" s="12" customFormat="1" ht="12" customHeight="1"/>
    <row r="965" s="12" customFormat="1" ht="12" customHeight="1"/>
    <row r="966" s="12" customFormat="1" ht="12" customHeight="1"/>
    <row r="967" s="12" customFormat="1" ht="12" customHeight="1"/>
    <row r="968" s="12" customFormat="1" ht="12" customHeight="1"/>
    <row r="969" s="12" customFormat="1" ht="12" customHeight="1"/>
    <row r="970" s="12" customFormat="1" ht="12" customHeight="1"/>
    <row r="971" s="12" customFormat="1" ht="12" customHeight="1"/>
    <row r="972" s="12" customFormat="1" ht="12" customHeight="1"/>
    <row r="973" s="12" customFormat="1" ht="12" customHeight="1"/>
    <row r="974" s="12" customFormat="1" ht="12" customHeight="1"/>
    <row r="975" s="12" customFormat="1" ht="12" customHeight="1"/>
    <row r="976" s="12" customFormat="1" ht="12" customHeight="1"/>
    <row r="977" s="12" customFormat="1" ht="12" customHeight="1"/>
    <row r="978" s="12" customFormat="1" ht="12" customHeight="1"/>
    <row r="979" s="12" customFormat="1" ht="12" customHeight="1"/>
    <row r="980" s="12" customFormat="1" ht="12" customHeight="1"/>
    <row r="981" s="12" customFormat="1" ht="12" customHeight="1"/>
    <row r="982" s="12" customFormat="1" ht="12" customHeight="1"/>
    <row r="983" s="12" customFormat="1" ht="12" customHeight="1"/>
    <row r="984" s="12" customFormat="1" ht="12" customHeight="1"/>
    <row r="985" s="12" customFormat="1" ht="12" customHeight="1"/>
    <row r="986" s="12" customFormat="1" ht="12" customHeight="1"/>
    <row r="987" s="12" customFormat="1" ht="12" customHeight="1"/>
    <row r="988" s="12" customFormat="1" ht="12" customHeight="1"/>
    <row r="989" s="12" customFormat="1" ht="12" customHeight="1"/>
    <row r="990" s="12" customFormat="1" ht="12" customHeight="1"/>
    <row r="991" s="12" customFormat="1" ht="12" customHeight="1"/>
    <row r="992" s="12" customFormat="1" ht="12" customHeight="1"/>
    <row r="993" s="12" customFormat="1" ht="12" customHeight="1"/>
    <row r="994" s="12" customFormat="1" ht="12" customHeight="1"/>
    <row r="995" s="12" customFormat="1" ht="12" customHeight="1"/>
    <row r="996" s="12" customFormat="1" ht="12" customHeight="1"/>
    <row r="997" s="12" customFormat="1" ht="12" customHeight="1"/>
    <row r="998" s="12" customFormat="1" ht="12" customHeight="1"/>
    <row r="999" s="12" customFormat="1" ht="12" customHeight="1"/>
    <row r="1000" s="12" customFormat="1" ht="12" customHeight="1"/>
    <row r="1001" s="12" customFormat="1" ht="12" customHeight="1"/>
    <row r="1002" s="12" customFormat="1" ht="12" customHeight="1"/>
    <row r="1003" s="12" customFormat="1" ht="12" customHeight="1"/>
    <row r="1004" s="12" customFormat="1" ht="12" customHeight="1"/>
    <row r="1005" s="12" customFormat="1" ht="12" customHeight="1"/>
    <row r="1006" s="12" customFormat="1" ht="12" customHeight="1"/>
    <row r="1007" s="12" customFormat="1" ht="12" customHeight="1"/>
    <row r="1008" s="12" customFormat="1" ht="12" customHeight="1"/>
    <row r="1009" s="12" customFormat="1" ht="12" customHeight="1"/>
    <row r="1010" s="12" customFormat="1" ht="12" customHeight="1"/>
    <row r="1011" s="12" customFormat="1" ht="12" customHeight="1"/>
    <row r="1012" s="12" customFormat="1" ht="12" customHeight="1"/>
    <row r="1013" s="12" customFormat="1" ht="12" customHeight="1"/>
    <row r="1014" s="12" customFormat="1" ht="12" customHeight="1"/>
    <row r="1015" s="12" customFormat="1" ht="12" customHeight="1"/>
    <row r="1016" s="12" customFormat="1" ht="12" customHeight="1"/>
    <row r="1017" s="12" customFormat="1" ht="12" customHeight="1"/>
    <row r="1018" s="12" customFormat="1" ht="12" customHeight="1"/>
    <row r="1019" s="12" customFormat="1" ht="12" customHeight="1"/>
    <row r="1020" s="12" customFormat="1" ht="12" customHeight="1"/>
    <row r="1021" s="12" customFormat="1" ht="12" customHeight="1"/>
    <row r="1022" s="12" customFormat="1" ht="12" customHeight="1"/>
    <row r="1023" s="12" customFormat="1" ht="12" customHeight="1"/>
    <row r="1024" s="12" customFormat="1" ht="12" customHeight="1"/>
    <row r="1025" s="12" customFormat="1" ht="12" customHeight="1"/>
    <row r="1026" s="12" customFormat="1" ht="12" customHeight="1"/>
    <row r="1027" s="12" customFormat="1" ht="12" customHeight="1"/>
    <row r="1028" s="12" customFormat="1" ht="12" customHeight="1"/>
    <row r="1029" s="12" customFormat="1" ht="12" customHeight="1"/>
    <row r="1030" s="12" customFormat="1" ht="12" customHeight="1"/>
    <row r="1031" s="12" customFormat="1" ht="12" customHeight="1"/>
    <row r="1032" s="12" customFormat="1" ht="12" customHeight="1"/>
    <row r="1033" s="12" customFormat="1" ht="12" customHeight="1"/>
    <row r="1034" s="12" customFormat="1" ht="12" customHeight="1"/>
    <row r="1035" s="12" customFormat="1" ht="12" customHeight="1"/>
    <row r="1036" s="12" customFormat="1" ht="12" customHeight="1"/>
    <row r="1037" s="12" customFormat="1" ht="12" customHeight="1"/>
    <row r="1038" s="12" customFormat="1" ht="12" customHeight="1"/>
    <row r="1039" s="12" customFormat="1" ht="12" customHeight="1"/>
    <row r="1040" s="12" customFormat="1" ht="12" customHeight="1"/>
    <row r="1041" s="12" customFormat="1" ht="12" customHeight="1"/>
    <row r="1042" s="12" customFormat="1" ht="12" customHeight="1"/>
    <row r="1043" s="12" customFormat="1" ht="12" customHeight="1"/>
    <row r="1044" s="12" customFormat="1" ht="12" customHeight="1"/>
    <row r="1045" s="12" customFormat="1" ht="12" customHeight="1"/>
    <row r="1046" s="12" customFormat="1" ht="12" customHeight="1"/>
    <row r="1047" s="12" customFormat="1" ht="12" customHeight="1"/>
    <row r="1048" s="12" customFormat="1" ht="12" customHeight="1"/>
    <row r="1049" s="12" customFormat="1" ht="12" customHeight="1"/>
    <row r="1050" s="12" customFormat="1" ht="12" customHeight="1"/>
    <row r="1051" s="12" customFormat="1" ht="12" customHeight="1"/>
    <row r="1052" s="12" customFormat="1" ht="12" customHeight="1"/>
    <row r="1053" s="12" customFormat="1" ht="12" customHeight="1"/>
    <row r="1054" s="12" customFormat="1" ht="12" customHeight="1"/>
    <row r="1055" s="12" customFormat="1" ht="12" customHeight="1"/>
    <row r="1056" s="12" customFormat="1" ht="12" customHeight="1"/>
    <row r="1057" s="12" customFormat="1" ht="12" customHeight="1"/>
    <row r="1058" s="12" customFormat="1" ht="12" customHeight="1"/>
    <row r="1059" s="12" customFormat="1" ht="12" customHeight="1"/>
    <row r="1060" s="12" customFormat="1" ht="12" customHeight="1"/>
    <row r="1061" s="12" customFormat="1" ht="12" customHeight="1"/>
    <row r="1062" s="12" customFormat="1" ht="12" customHeight="1"/>
    <row r="1063" s="12" customFormat="1" ht="12" customHeight="1"/>
    <row r="1064" s="12" customFormat="1" ht="12" customHeight="1"/>
    <row r="1065" s="12" customFormat="1" ht="12" customHeight="1"/>
    <row r="1066" s="12" customFormat="1" ht="12" customHeight="1"/>
    <row r="1067" s="12" customFormat="1" ht="12" customHeight="1"/>
    <row r="1068" s="12" customFormat="1" ht="12" customHeight="1"/>
    <row r="1069" s="12" customFormat="1" ht="12" customHeight="1"/>
    <row r="1070" s="12" customFormat="1" ht="12" customHeight="1"/>
    <row r="1071" s="12" customFormat="1" ht="12" customHeight="1"/>
    <row r="1072" s="12" customFormat="1" ht="12" customHeight="1"/>
    <row r="1073" s="12" customFormat="1" ht="12" customHeight="1"/>
    <row r="1074" s="12" customFormat="1" ht="12" customHeight="1"/>
    <row r="1075" s="12" customFormat="1" ht="12" customHeight="1"/>
    <row r="1076" s="12" customFormat="1" ht="12" customHeight="1"/>
    <row r="1077" s="12" customFormat="1" ht="12" customHeight="1"/>
    <row r="1078" s="12" customFormat="1" ht="12" customHeight="1"/>
    <row r="1079" s="12" customFormat="1" ht="12" customHeight="1"/>
    <row r="1080" s="12" customFormat="1" ht="12" customHeight="1"/>
    <row r="1081" s="12" customFormat="1" ht="12" customHeight="1"/>
    <row r="1082" s="12" customFormat="1" ht="12" customHeight="1"/>
    <row r="1083" s="12" customFormat="1" ht="12" customHeight="1"/>
    <row r="1084" s="12" customFormat="1" ht="12" customHeight="1"/>
    <row r="1085" s="12" customFormat="1" ht="12" customHeight="1"/>
    <row r="1086" s="12" customFormat="1" ht="12" customHeight="1"/>
    <row r="1087" s="12" customFormat="1" ht="12" customHeight="1"/>
    <row r="1088" s="12" customFormat="1" ht="12" customHeight="1"/>
    <row r="1089" s="12" customFormat="1" ht="12" customHeight="1"/>
    <row r="1090" s="12" customFormat="1" ht="12" customHeight="1"/>
    <row r="1091" s="12" customFormat="1" ht="12" customHeight="1"/>
    <row r="1092" s="12" customFormat="1" ht="12" customHeight="1"/>
    <row r="1093" s="12" customFormat="1" ht="12" customHeight="1"/>
    <row r="1094" s="12" customFormat="1" ht="12" customHeight="1"/>
    <row r="1095" s="12" customFormat="1" ht="12" customHeight="1"/>
    <row r="1096" s="12" customFormat="1" ht="12" customHeight="1"/>
    <row r="1097" s="12" customFormat="1" ht="12" customHeight="1"/>
    <row r="1098" s="12" customFormat="1" ht="12" customHeight="1"/>
    <row r="1099" s="12" customFormat="1" ht="12" customHeight="1"/>
    <row r="1100" s="12" customFormat="1" ht="12" customHeight="1"/>
    <row r="1101" s="12" customFormat="1" ht="12" customHeight="1"/>
    <row r="1102" s="12" customFormat="1" ht="12" customHeight="1"/>
    <row r="1103" s="12" customFormat="1" ht="12" customHeight="1"/>
    <row r="1104" s="12" customFormat="1" ht="12" customHeight="1"/>
    <row r="1105" s="12" customFormat="1" ht="12" customHeight="1"/>
    <row r="1106" s="12" customFormat="1" ht="12" customHeight="1"/>
    <row r="1107" s="12" customFormat="1" ht="12" customHeight="1"/>
    <row r="1108" s="12" customFormat="1" ht="12" customHeight="1"/>
    <row r="1109" s="12" customFormat="1" ht="12" customHeight="1"/>
    <row r="1110" s="12" customFormat="1" ht="12" customHeight="1"/>
    <row r="1111" s="12" customFormat="1" ht="12" customHeight="1"/>
    <row r="1112" s="12" customFormat="1" ht="12" customHeight="1"/>
    <row r="1113" s="12" customFormat="1" ht="12" customHeight="1"/>
    <row r="1114" s="12" customFormat="1" ht="12" customHeight="1"/>
    <row r="1115" s="12" customFormat="1" ht="12" customHeight="1"/>
    <row r="1116" s="12" customFormat="1" ht="12" customHeight="1"/>
    <row r="1117" s="12" customFormat="1" ht="12" customHeight="1"/>
    <row r="1118" s="12" customFormat="1" ht="12" customHeight="1"/>
    <row r="1119" s="12" customFormat="1" ht="12" customHeight="1"/>
    <row r="1120" s="12" customFormat="1" ht="12" customHeight="1"/>
    <row r="1121" s="12" customFormat="1" ht="12" customHeight="1"/>
    <row r="1122" s="12" customFormat="1" ht="12" customHeight="1"/>
    <row r="1123" s="12" customFormat="1" ht="12" customHeight="1"/>
    <row r="1124" s="12" customFormat="1" ht="12" customHeight="1"/>
    <row r="1125" s="12" customFormat="1" ht="12" customHeight="1"/>
    <row r="1126" s="12" customFormat="1" ht="12" customHeight="1"/>
    <row r="1127" s="12" customFormat="1" ht="12" customHeight="1"/>
    <row r="1128" s="12" customFormat="1" ht="12" customHeight="1"/>
    <row r="1129" s="12" customFormat="1" ht="12" customHeight="1"/>
    <row r="1130" s="12" customFormat="1" ht="12" customHeight="1"/>
    <row r="1131" s="12" customFormat="1" ht="12" customHeight="1"/>
    <row r="1132" s="12" customFormat="1" ht="12" customHeight="1"/>
    <row r="1133" s="12" customFormat="1" ht="12" customHeight="1"/>
    <row r="1134" s="12" customFormat="1" ht="12" customHeight="1"/>
    <row r="1135" s="12" customFormat="1" ht="12" customHeight="1"/>
    <row r="1136" s="12" customFormat="1" ht="12" customHeight="1"/>
    <row r="1137" s="12" customFormat="1" ht="12" customHeight="1"/>
    <row r="1138" s="12" customFormat="1" ht="12" customHeight="1"/>
    <row r="1139" s="12" customFormat="1" ht="12" customHeight="1"/>
    <row r="1140" s="12" customFormat="1" ht="12" customHeight="1"/>
    <row r="1141" s="12" customFormat="1" ht="12" customHeight="1"/>
    <row r="1142" s="12" customFormat="1" ht="12" customHeight="1"/>
    <row r="1143" s="12" customFormat="1" ht="12" customHeight="1"/>
    <row r="1144" s="12" customFormat="1" ht="12" customHeight="1"/>
    <row r="1145" s="12" customFormat="1" ht="12" customHeight="1"/>
    <row r="1146" s="12" customFormat="1" ht="12" customHeight="1"/>
    <row r="1147" s="12" customFormat="1" ht="12" customHeight="1"/>
    <row r="1148" s="12" customFormat="1" ht="12" customHeight="1"/>
    <row r="1149" s="12" customFormat="1" ht="12" customHeight="1"/>
    <row r="1150" s="12" customFormat="1" ht="12" customHeight="1"/>
    <row r="1151" s="12" customFormat="1" ht="12" customHeight="1"/>
    <row r="1152" s="12" customFormat="1" ht="12" customHeight="1"/>
    <row r="1153" s="12" customFormat="1" ht="12" customHeight="1"/>
    <row r="1154" s="12" customFormat="1" ht="12" customHeight="1"/>
    <row r="1155" s="12" customFormat="1" ht="12" customHeight="1"/>
    <row r="1156" s="12" customFormat="1" ht="12" customHeight="1"/>
    <row r="1157" s="12" customFormat="1" ht="12" customHeight="1"/>
    <row r="1158" s="12" customFormat="1" ht="12" customHeight="1"/>
    <row r="1159" s="12" customFormat="1" ht="12" customHeight="1"/>
    <row r="1160" s="12" customFormat="1" ht="12" customHeight="1"/>
    <row r="1161" s="12" customFormat="1" ht="12" customHeight="1"/>
    <row r="1162" s="12" customFormat="1" ht="12" customHeight="1"/>
    <row r="1163" s="12" customFormat="1" ht="12" customHeight="1"/>
    <row r="1164" s="12" customFormat="1" ht="12" customHeight="1"/>
    <row r="1165" s="12" customFormat="1" ht="12" customHeight="1"/>
    <row r="1166" s="12" customFormat="1" ht="12" customHeight="1"/>
    <row r="1167" s="12" customFormat="1" ht="12" customHeight="1"/>
    <row r="1168" s="12" customFormat="1" ht="12" customHeight="1"/>
    <row r="1169" s="12" customFormat="1" ht="12" customHeight="1"/>
    <row r="1170" s="12" customFormat="1" ht="12" customHeight="1"/>
    <row r="1171" s="12" customFormat="1" ht="12" customHeight="1"/>
    <row r="1172" s="12" customFormat="1" ht="12" customHeight="1"/>
    <row r="1173" s="12" customFormat="1" ht="12" customHeight="1"/>
    <row r="1174" s="12" customFormat="1" ht="12" customHeight="1"/>
    <row r="1175" s="12" customFormat="1" ht="12" customHeight="1"/>
    <row r="1176" s="12" customFormat="1" ht="12" customHeight="1"/>
    <row r="1177" s="12" customFormat="1" ht="12" customHeight="1"/>
    <row r="1178" s="12" customFormat="1" ht="12" customHeight="1"/>
    <row r="1179" s="12" customFormat="1" ht="12" customHeight="1"/>
    <row r="1180" s="12" customFormat="1" ht="12" customHeight="1"/>
    <row r="1181" s="12" customFormat="1" ht="12" customHeight="1"/>
    <row r="1182" s="12" customFormat="1" ht="12" customHeight="1"/>
    <row r="1183" s="12" customFormat="1" ht="12" customHeight="1"/>
    <row r="1184" s="12" customFormat="1" ht="12" customHeight="1"/>
    <row r="1185" s="12" customFormat="1" ht="12" customHeight="1"/>
    <row r="1186" s="12" customFormat="1" ht="12" customHeight="1"/>
    <row r="1187" s="12" customFormat="1" ht="12" customHeight="1"/>
    <row r="1188" s="12" customFormat="1" ht="12" customHeight="1"/>
    <row r="1189" s="12" customFormat="1" ht="12" customHeight="1"/>
    <row r="1190" s="12" customFormat="1" ht="12" customHeight="1"/>
    <row r="1191" s="12" customFormat="1" ht="12" customHeight="1"/>
    <row r="1192" s="12" customFormat="1" ht="12" customHeight="1"/>
    <row r="1193" s="12" customFormat="1" ht="12" customHeight="1"/>
    <row r="1194" s="12" customFormat="1" ht="12" customHeight="1"/>
    <row r="1195" s="12" customFormat="1" ht="12" customHeight="1"/>
    <row r="1196" s="12" customFormat="1" ht="12" customHeight="1"/>
    <row r="1197" s="12" customFormat="1" ht="12" customHeight="1"/>
    <row r="1198" s="12" customFormat="1" ht="12" customHeight="1"/>
    <row r="1199" s="12" customFormat="1" ht="12" customHeight="1"/>
    <row r="1200" s="12" customFormat="1" ht="12" customHeight="1"/>
    <row r="1201" s="12" customFormat="1" ht="12" customHeight="1"/>
    <row r="1202" s="12" customFormat="1" ht="12" customHeight="1"/>
    <row r="1203" s="12" customFormat="1" ht="12" customHeight="1"/>
    <row r="1204" s="12" customFormat="1" ht="12" customHeight="1"/>
    <row r="1205" s="12" customFormat="1" ht="12" customHeight="1"/>
    <row r="1206" s="12" customFormat="1" ht="12" customHeight="1"/>
    <row r="1207" s="12" customFormat="1" ht="12" customHeight="1"/>
    <row r="1208" s="12" customFormat="1" ht="12" customHeight="1"/>
    <row r="1209" s="12" customFormat="1" ht="12" customHeight="1"/>
    <row r="1210" s="12" customFormat="1" ht="12" customHeight="1"/>
    <row r="1211" s="12" customFormat="1" ht="12" customHeight="1"/>
    <row r="1212" s="12" customFormat="1" ht="12" customHeight="1"/>
    <row r="1213" s="12" customFormat="1" ht="12" customHeight="1"/>
    <row r="1214" s="12" customFormat="1" ht="12" customHeight="1"/>
    <row r="1215" s="12" customFormat="1" ht="12" customHeight="1"/>
    <row r="1216" s="12" customFormat="1" ht="12" customHeight="1"/>
    <row r="1217" s="12" customFormat="1" ht="12" customHeight="1"/>
    <row r="1218" s="12" customFormat="1" ht="12" customHeight="1"/>
    <row r="1219" s="12" customFormat="1" ht="12" customHeight="1"/>
    <row r="1220" s="12" customFormat="1" ht="12" customHeight="1"/>
    <row r="1221" s="12" customFormat="1" ht="12" customHeight="1"/>
    <row r="1222" s="12" customFormat="1" ht="12" customHeight="1"/>
    <row r="1223" s="12" customFormat="1" ht="12" customHeight="1"/>
    <row r="1224" s="12" customFormat="1" ht="12" customHeight="1"/>
    <row r="1225" s="12" customFormat="1" ht="12" customHeight="1"/>
    <row r="1226" s="12" customFormat="1" ht="12" customHeight="1"/>
    <row r="1227" s="12" customFormat="1" ht="12" customHeight="1"/>
    <row r="1228" s="12" customFormat="1" ht="12" customHeight="1"/>
    <row r="1229" s="12" customFormat="1" ht="12" customHeight="1"/>
    <row r="1230" s="12" customFormat="1" ht="12" customHeight="1"/>
    <row r="1231" s="12" customFormat="1" ht="12" customHeight="1"/>
    <row r="1232" s="12" customFormat="1" ht="12" customHeight="1"/>
    <row r="1233" s="12" customFormat="1" ht="12" customHeight="1"/>
    <row r="1234" s="12" customFormat="1" ht="12" customHeight="1"/>
    <row r="1235" s="12" customFormat="1" ht="12" customHeight="1"/>
    <row r="1236" s="12" customFormat="1" ht="12" customHeight="1"/>
    <row r="1237" s="12" customFormat="1" ht="12" customHeight="1"/>
    <row r="1238" s="12" customFormat="1" ht="12" customHeight="1"/>
    <row r="1239" s="12" customFormat="1" ht="12" customHeight="1"/>
    <row r="1240" s="12" customFormat="1" ht="12" customHeight="1"/>
    <row r="1241" s="12" customFormat="1" ht="12" customHeight="1"/>
    <row r="1242" s="12" customFormat="1" ht="12" customHeight="1"/>
    <row r="1243" s="12" customFormat="1" ht="12" customHeight="1"/>
    <row r="1244" s="12" customFormat="1" ht="12" customHeight="1"/>
    <row r="1245" s="12" customFormat="1" ht="12" customHeight="1"/>
    <row r="1246" s="12" customFormat="1" ht="12" customHeight="1"/>
    <row r="1247" s="12" customFormat="1" ht="12" customHeight="1"/>
    <row r="1248" s="12" customFormat="1" ht="12" customHeight="1"/>
    <row r="1249" s="12" customFormat="1" ht="12" customHeight="1"/>
    <row r="1250" s="12" customFormat="1" ht="12" customHeight="1"/>
    <row r="1251" s="12" customFormat="1" ht="12" customHeight="1"/>
    <row r="1252" s="12" customFormat="1" ht="12" customHeight="1"/>
    <row r="1253" s="12" customFormat="1" ht="12" customHeight="1"/>
    <row r="1254" s="12" customFormat="1" ht="12" customHeight="1"/>
    <row r="1255" s="12" customFormat="1" ht="12" customHeight="1"/>
    <row r="1256" s="12" customFormat="1" ht="12" customHeight="1"/>
    <row r="1257" s="12" customFormat="1" ht="12" customHeight="1"/>
    <row r="1258" s="12" customFormat="1" ht="12" customHeight="1"/>
    <row r="1259" s="12" customFormat="1" ht="12" customHeight="1"/>
    <row r="1260" s="12" customFormat="1" ht="12" customHeight="1"/>
    <row r="1261" s="12" customFormat="1" ht="12" customHeight="1"/>
    <row r="1262" s="12" customFormat="1" ht="12" customHeight="1"/>
    <row r="1263" s="12" customFormat="1" ht="12" customHeight="1"/>
    <row r="1264" s="12" customFormat="1" ht="12" customHeight="1"/>
    <row r="1265" s="12" customFormat="1" ht="12" customHeight="1"/>
    <row r="1266" s="12" customFormat="1" ht="12" customHeight="1"/>
    <row r="1267" s="12" customFormat="1" ht="12" customHeight="1"/>
    <row r="1268" s="12" customFormat="1" ht="12" customHeight="1"/>
    <row r="1269" s="12" customFormat="1" ht="12" customHeight="1"/>
    <row r="1270" s="12" customFormat="1" ht="12" customHeight="1"/>
    <row r="1271" s="12" customFormat="1" ht="12" customHeight="1"/>
    <row r="1272" s="12" customFormat="1" ht="12" customHeight="1"/>
    <row r="1273" s="12" customFormat="1" ht="12" customHeight="1"/>
    <row r="1274" s="12" customFormat="1" ht="12" customHeight="1"/>
    <row r="1275" s="12" customFormat="1" ht="12" customHeight="1"/>
    <row r="1276" s="12" customFormat="1" ht="12" customHeight="1"/>
    <row r="1277" s="12" customFormat="1" ht="12" customHeight="1"/>
    <row r="1278" s="12" customFormat="1" ht="12" customHeight="1"/>
    <row r="1279" s="12" customFormat="1" ht="12" customHeight="1"/>
    <row r="1280" s="12" customFormat="1" ht="12" customHeight="1"/>
    <row r="1281" s="12" customFormat="1" ht="12" customHeight="1"/>
    <row r="1282" s="12" customFormat="1" ht="12" customHeight="1"/>
    <row r="1283" s="12" customFormat="1" ht="12" customHeight="1"/>
    <row r="1284" s="12" customFormat="1" ht="12" customHeight="1"/>
    <row r="1285" s="12" customFormat="1" ht="12" customHeight="1"/>
    <row r="1286" s="12" customFormat="1" ht="12" customHeight="1"/>
    <row r="1287" s="12" customFormat="1" ht="12" customHeight="1"/>
    <row r="1288" s="12" customFormat="1" ht="12" customHeight="1"/>
    <row r="1289" s="12" customFormat="1" ht="12" customHeight="1"/>
    <row r="1290" s="12" customFormat="1" ht="12" customHeight="1"/>
    <row r="1291" s="12" customFormat="1" ht="12" customHeight="1"/>
    <row r="1292" s="12" customFormat="1" ht="12" customHeight="1"/>
    <row r="1293" s="12" customFormat="1" ht="12" customHeight="1"/>
    <row r="1294" s="12" customFormat="1" ht="12" customHeight="1"/>
    <row r="1295" s="12" customFormat="1" ht="12" customHeight="1"/>
    <row r="1296" s="12" customFormat="1" ht="12" customHeight="1"/>
    <row r="1297" s="12" customFormat="1" ht="12" customHeight="1"/>
    <row r="1298" s="12" customFormat="1" ht="12" customHeight="1"/>
    <row r="1299" s="12" customFormat="1" ht="12" customHeight="1"/>
    <row r="1300" s="12" customFormat="1" ht="12" customHeight="1"/>
    <row r="1301" s="12" customFormat="1" ht="12" customHeight="1"/>
    <row r="1302" s="12" customFormat="1" ht="12" customHeight="1"/>
    <row r="1303" s="12" customFormat="1" ht="12" customHeight="1"/>
    <row r="1304" s="12" customFormat="1" ht="12" customHeight="1"/>
    <row r="1305" s="12" customFormat="1" ht="12" customHeight="1"/>
    <row r="1306" s="12" customFormat="1" ht="12" customHeight="1"/>
    <row r="1307" s="12" customFormat="1" ht="12" customHeight="1"/>
    <row r="1308" s="12" customFormat="1" ht="12" customHeight="1"/>
    <row r="1309" s="12" customFormat="1" ht="12" customHeight="1"/>
    <row r="1310" s="12" customFormat="1" ht="12" customHeight="1"/>
    <row r="1311" s="12" customFormat="1" ht="12" customHeight="1"/>
    <row r="1312" s="12" customFormat="1" ht="12" customHeight="1"/>
    <row r="1313" s="12" customFormat="1" ht="12" customHeight="1"/>
    <row r="1314" s="12" customFormat="1" ht="12" customHeight="1"/>
    <row r="1315" s="12" customFormat="1" ht="12" customHeight="1"/>
    <row r="1316" s="12" customFormat="1" ht="12" customHeight="1"/>
    <row r="1317" s="12" customFormat="1" ht="12" customHeight="1"/>
    <row r="1318" s="12" customFormat="1" ht="12" customHeight="1"/>
    <row r="1319" s="12" customFormat="1" ht="12" customHeight="1"/>
    <row r="1320" s="12" customFormat="1" ht="12" customHeight="1"/>
    <row r="1321" s="12" customFormat="1" ht="12" customHeight="1"/>
    <row r="1322" s="12" customFormat="1" ht="12" customHeight="1"/>
    <row r="1323" s="12" customFormat="1" ht="12" customHeight="1"/>
    <row r="1324" s="12" customFormat="1" ht="12" customHeight="1"/>
    <row r="1325" s="12" customFormat="1" ht="12" customHeight="1"/>
    <row r="1326" s="12" customFormat="1" ht="12" customHeight="1"/>
    <row r="1327" s="12" customFormat="1" ht="12" customHeight="1"/>
    <row r="1328" s="12" customFormat="1" ht="12" customHeight="1"/>
    <row r="1329" s="12" customFormat="1" ht="12" customHeight="1"/>
    <row r="1330" s="12" customFormat="1" ht="12" customHeight="1"/>
    <row r="1331" s="12" customFormat="1" ht="12" customHeight="1"/>
    <row r="1332" s="12" customFormat="1" ht="12" customHeight="1"/>
    <row r="1333" s="12" customFormat="1" ht="12" customHeight="1"/>
    <row r="1334" s="12" customFormat="1" ht="12" customHeight="1"/>
    <row r="1335" s="12" customFormat="1" ht="12" customHeight="1"/>
    <row r="1336" s="12" customFormat="1" ht="12" customHeight="1"/>
    <row r="1337" s="12" customFormat="1" ht="12" customHeight="1"/>
    <row r="1338" s="12" customFormat="1" ht="12" customHeight="1"/>
    <row r="1339" s="12" customFormat="1" ht="12" customHeight="1"/>
    <row r="1340" s="12" customFormat="1" ht="12" customHeight="1"/>
    <row r="1341" s="12" customFormat="1" ht="12" customHeight="1"/>
    <row r="1342" s="12" customFormat="1" ht="12" customHeight="1"/>
    <row r="1343" s="12" customFormat="1" ht="12" customHeight="1"/>
    <row r="1344" s="12" customFormat="1" ht="12" customHeight="1"/>
    <row r="1345" s="12" customFormat="1" ht="12" customHeight="1"/>
    <row r="1346" s="12" customFormat="1" ht="12" customHeight="1"/>
    <row r="1347" s="12" customFormat="1" ht="12" customHeight="1"/>
    <row r="1348" s="12" customFormat="1" ht="12" customHeight="1"/>
    <row r="1349" s="12" customFormat="1" ht="12" customHeight="1"/>
    <row r="1350" s="12" customFormat="1" ht="12" customHeight="1"/>
    <row r="1351" s="12" customFormat="1" ht="12" customHeight="1"/>
    <row r="1352" s="12" customFormat="1" ht="12" customHeight="1"/>
    <row r="1353" s="12" customFormat="1" ht="12" customHeight="1"/>
    <row r="1354" s="12" customFormat="1" ht="12" customHeight="1"/>
    <row r="1355" s="12" customFormat="1" ht="12" customHeight="1"/>
    <row r="1356" s="12" customFormat="1" ht="12" customHeight="1"/>
    <row r="1357" s="12" customFormat="1" ht="12" customHeight="1"/>
    <row r="1358" s="12" customFormat="1" ht="12" customHeight="1"/>
    <row r="1359" s="12" customFormat="1" ht="12" customHeight="1"/>
    <row r="1360" s="12" customFormat="1" ht="12" customHeight="1"/>
    <row r="1361" s="12" customFormat="1" ht="12" customHeight="1"/>
    <row r="1362" s="12" customFormat="1" ht="12" customHeight="1"/>
    <row r="1363" s="12" customFormat="1" ht="12" customHeight="1"/>
    <row r="1364" s="12" customFormat="1" ht="12" customHeight="1"/>
    <row r="1365" s="12" customFormat="1" ht="12" customHeight="1"/>
    <row r="1366" s="12" customFormat="1" ht="12" customHeight="1"/>
    <row r="1367" s="12" customFormat="1" ht="12" customHeight="1"/>
    <row r="1368" s="12" customFormat="1" ht="12" customHeight="1"/>
    <row r="1369" s="12" customFormat="1" ht="12" customHeight="1"/>
    <row r="1370" s="12" customFormat="1" ht="12" customHeight="1"/>
    <row r="1371" s="12" customFormat="1" ht="12" customHeight="1"/>
    <row r="1372" s="12" customFormat="1" ht="12" customHeight="1"/>
    <row r="1373" s="12" customFormat="1" ht="12" customHeight="1"/>
    <row r="1374" s="12" customFormat="1" ht="12" customHeight="1"/>
    <row r="1375" s="12" customFormat="1" ht="12" customHeight="1"/>
    <row r="1376" s="12" customFormat="1" ht="12" customHeight="1"/>
    <row r="1377" s="12" customFormat="1" ht="12" customHeight="1"/>
    <row r="1378" s="12" customFormat="1" ht="12" customHeight="1"/>
    <row r="1379" s="12" customFormat="1" ht="12" customHeight="1"/>
    <row r="1380" s="12" customFormat="1" ht="12" customHeight="1"/>
    <row r="1381" s="12" customFormat="1" ht="12" customHeight="1"/>
    <row r="1382" s="12" customFormat="1" ht="12" customHeight="1"/>
    <row r="1383" s="12" customFormat="1" ht="12" customHeight="1"/>
    <row r="1384" s="12" customFormat="1" ht="12" customHeight="1"/>
    <row r="1385" s="12" customFormat="1" ht="12" customHeight="1"/>
    <row r="1386" s="12" customFormat="1" ht="12" customHeight="1"/>
    <row r="1387" s="12" customFormat="1" ht="12" customHeight="1"/>
    <row r="1388" s="12" customFormat="1" ht="12" customHeight="1"/>
    <row r="1389" s="12" customFormat="1" ht="12" customHeight="1"/>
    <row r="1390" s="12" customFormat="1" ht="12" customHeight="1"/>
    <row r="1391" s="12" customFormat="1" ht="12" customHeight="1"/>
    <row r="1392" s="12" customFormat="1" ht="12" customHeight="1"/>
    <row r="1393" s="12" customFormat="1" ht="12" customHeight="1"/>
    <row r="1394" s="12" customFormat="1" ht="12" customHeight="1"/>
    <row r="1395" s="12" customFormat="1" ht="12" customHeight="1"/>
    <row r="1396" s="12" customFormat="1" ht="12" customHeight="1"/>
    <row r="1397" s="12" customFormat="1" ht="12" customHeight="1"/>
    <row r="1398" s="12" customFormat="1" ht="12" customHeight="1"/>
    <row r="1399" s="12" customFormat="1" ht="12" customHeight="1"/>
    <row r="1400" s="12" customFormat="1" ht="12" customHeight="1"/>
    <row r="1401" s="12" customFormat="1" ht="12" customHeight="1"/>
    <row r="1402" s="12" customFormat="1" ht="12" customHeight="1"/>
    <row r="1403" s="12" customFormat="1" ht="12" customHeight="1"/>
    <row r="1404" s="12" customFormat="1" ht="12" customHeight="1"/>
    <row r="1405" s="12" customFormat="1" ht="12" customHeight="1"/>
    <row r="1406" s="12" customFormat="1" ht="12" customHeight="1"/>
    <row r="1407" s="12" customFormat="1" ht="12" customHeight="1"/>
    <row r="1408" s="12" customFormat="1" ht="12" customHeight="1"/>
    <row r="1409" s="12" customFormat="1" ht="12" customHeight="1"/>
    <row r="1410" s="12" customFormat="1" ht="12" customHeight="1"/>
    <row r="1411" s="12" customFormat="1" ht="12" customHeight="1"/>
    <row r="1412" s="12" customFormat="1" ht="12" customHeight="1"/>
    <row r="1413" s="12" customFormat="1" ht="12" customHeight="1"/>
    <row r="1414" s="12" customFormat="1" ht="12" customHeight="1"/>
    <row r="1415" s="12" customFormat="1" ht="12" customHeight="1"/>
    <row r="1416" s="12" customFormat="1" ht="12" customHeight="1"/>
    <row r="1417" s="12" customFormat="1" ht="12" customHeight="1"/>
    <row r="1418" s="12" customFormat="1" ht="12" customHeight="1"/>
    <row r="1419" s="12" customFormat="1" ht="12" customHeight="1"/>
    <row r="1420" s="12" customFormat="1" ht="12" customHeight="1"/>
    <row r="1421" s="12" customFormat="1" ht="12" customHeight="1"/>
    <row r="1422" s="12" customFormat="1" ht="12" customHeight="1"/>
    <row r="1423" s="12" customFormat="1" ht="12" customHeight="1"/>
    <row r="1424" s="12" customFormat="1" ht="12" customHeight="1"/>
    <row r="1425" s="12" customFormat="1" ht="12" customHeight="1"/>
    <row r="1426" s="12" customFormat="1" ht="12" customHeight="1"/>
    <row r="1427" s="12" customFormat="1" ht="12" customHeight="1"/>
    <row r="1428" s="12" customFormat="1" ht="12" customHeight="1"/>
    <row r="1429" s="12" customFormat="1" ht="12" customHeight="1"/>
    <row r="1430" s="12" customFormat="1" ht="12" customHeight="1"/>
    <row r="1431" s="12" customFormat="1" ht="12" customHeight="1"/>
    <row r="1432" s="12" customFormat="1" ht="12" customHeight="1"/>
    <row r="1433" s="12" customFormat="1" ht="12" customHeight="1"/>
    <row r="1434" s="12" customFormat="1" ht="12" customHeight="1"/>
    <row r="1435" s="12" customFormat="1" ht="12" customHeight="1"/>
    <row r="1436" s="12" customFormat="1" ht="12" customHeight="1"/>
    <row r="1437" s="12" customFormat="1" ht="12" customHeight="1"/>
    <row r="1438" s="12" customFormat="1" ht="12" customHeight="1"/>
    <row r="1439" s="12" customFormat="1" ht="12" customHeight="1"/>
    <row r="1440" s="12" customFormat="1" ht="12" customHeight="1"/>
    <row r="1441" s="12" customFormat="1" ht="12" customHeight="1"/>
    <row r="1442" s="12" customFormat="1" ht="12" customHeight="1"/>
    <row r="1443" s="12" customFormat="1" ht="12" customHeight="1"/>
    <row r="1444" s="12" customFormat="1" ht="12" customHeight="1"/>
    <row r="1445" s="12" customFormat="1" ht="12" customHeight="1"/>
    <row r="1446" s="12" customFormat="1" ht="12" customHeight="1"/>
    <row r="1447" s="12" customFormat="1" ht="12" customHeight="1"/>
    <row r="1448" s="12" customFormat="1" ht="12" customHeight="1"/>
    <row r="1449" s="12" customFormat="1" ht="12" customHeight="1"/>
    <row r="1450" s="12" customFormat="1" ht="12" customHeight="1"/>
    <row r="1451" s="12" customFormat="1" ht="12" customHeight="1"/>
    <row r="1452" s="12" customFormat="1" ht="12" customHeight="1"/>
    <row r="1453" s="12" customFormat="1" ht="12" customHeight="1"/>
    <row r="1454" s="12" customFormat="1" ht="12" customHeight="1"/>
    <row r="1455" s="12" customFormat="1" ht="12" customHeight="1"/>
    <row r="1456" s="12" customFormat="1" ht="12" customHeight="1"/>
    <row r="1457" s="12" customFormat="1" ht="12" customHeight="1"/>
    <row r="1458" s="12" customFormat="1" ht="12" customHeight="1"/>
    <row r="1459" s="12" customFormat="1" ht="12" customHeight="1"/>
    <row r="1460" s="12" customFormat="1" ht="12" customHeight="1"/>
    <row r="1461" s="12" customFormat="1" ht="12" customHeight="1"/>
    <row r="1462" s="12" customFormat="1" ht="12" customHeight="1"/>
    <row r="1463" s="12" customFormat="1" ht="12" customHeight="1"/>
    <row r="1464" s="12" customFormat="1" ht="12" customHeight="1"/>
    <row r="1465" s="12" customFormat="1" ht="12" customHeight="1"/>
    <row r="1466" s="12" customFormat="1" ht="12" customHeight="1"/>
    <row r="1467" s="12" customFormat="1" ht="12" customHeight="1"/>
    <row r="1468" s="12" customFormat="1" ht="12" customHeight="1"/>
    <row r="1469" s="12" customFormat="1" ht="12" customHeight="1"/>
    <row r="1470" s="12" customFormat="1" ht="12" customHeight="1"/>
    <row r="1471" s="12" customFormat="1" ht="12" customHeight="1"/>
    <row r="1472" s="12" customFormat="1" ht="12" customHeight="1"/>
    <row r="1473" s="12" customFormat="1" ht="12" customHeight="1"/>
    <row r="1474" s="12" customFormat="1" ht="12" customHeight="1"/>
    <row r="1475" s="12" customFormat="1" ht="12" customHeight="1"/>
    <row r="1476" s="12" customFormat="1" ht="12" customHeight="1"/>
    <row r="1477" s="12" customFormat="1" ht="12" customHeight="1"/>
    <row r="1478" s="12" customFormat="1" ht="12" customHeight="1"/>
    <row r="1479" s="12" customFormat="1" ht="12" customHeight="1"/>
    <row r="1480" s="12" customFormat="1" ht="12" customHeight="1"/>
    <row r="1481" s="12" customFormat="1" ht="12" customHeight="1"/>
    <row r="1482" s="12" customFormat="1" ht="12" customHeight="1"/>
    <row r="1483" s="12" customFormat="1" ht="12" customHeight="1"/>
    <row r="1484" s="12" customFormat="1" ht="12" customHeight="1"/>
    <row r="1485" s="12" customFormat="1" ht="12" customHeight="1"/>
    <row r="1486" s="12" customFormat="1" ht="12" customHeight="1"/>
    <row r="1487" s="12" customFormat="1" ht="12" customHeight="1"/>
    <row r="1488" s="12" customFormat="1" ht="12" customHeight="1"/>
    <row r="1489" s="12" customFormat="1" ht="12" customHeight="1"/>
    <row r="1490" s="12" customFormat="1" ht="12" customHeight="1"/>
    <row r="1491" s="12" customFormat="1" ht="12" customHeight="1"/>
    <row r="1492" s="12" customFormat="1" ht="12" customHeight="1"/>
    <row r="1493" s="12" customFormat="1" ht="12" customHeight="1"/>
    <row r="1494" s="12" customFormat="1" ht="12" customHeight="1"/>
    <row r="1495" s="12" customFormat="1" ht="12" customHeight="1"/>
    <row r="1496" s="12" customFormat="1" ht="12" customHeight="1"/>
    <row r="1497" s="12" customFormat="1" ht="12" customHeight="1"/>
    <row r="1498" s="12" customFormat="1" ht="12" customHeight="1"/>
    <row r="1499" s="12" customFormat="1" ht="12" customHeight="1"/>
    <row r="1500" s="12" customFormat="1" ht="12" customHeight="1"/>
    <row r="1501" s="12" customFormat="1" ht="12" customHeight="1"/>
    <row r="1502" s="12" customFormat="1" ht="12" customHeight="1"/>
    <row r="1503" s="12" customFormat="1" ht="12" customHeight="1"/>
    <row r="1504" s="12" customFormat="1" ht="12" customHeight="1"/>
    <row r="1505" s="12" customFormat="1" ht="12" customHeight="1"/>
    <row r="1506" s="12" customFormat="1" ht="12" customHeight="1"/>
    <row r="1507" s="12" customFormat="1" ht="12" customHeight="1"/>
    <row r="1508" s="12" customFormat="1" ht="12" customHeight="1"/>
    <row r="1509" s="12" customFormat="1" ht="12" customHeight="1"/>
    <row r="1510" s="12" customFormat="1" ht="12" customHeight="1"/>
    <row r="1511" s="12" customFormat="1" ht="12" customHeight="1"/>
    <row r="1512" s="12" customFormat="1" ht="12" customHeight="1"/>
    <row r="1513" s="12" customFormat="1" ht="12" customHeight="1"/>
    <row r="1514" s="12" customFormat="1" ht="12" customHeight="1"/>
    <row r="1515" s="12" customFormat="1" ht="12" customHeight="1"/>
    <row r="1516" s="12" customFormat="1" ht="12" customHeight="1"/>
    <row r="1517" s="12" customFormat="1" ht="12" customHeight="1"/>
    <row r="1518" s="12" customFormat="1" ht="12" customHeight="1"/>
    <row r="1519" s="12" customFormat="1" ht="12" customHeight="1"/>
    <row r="1520" s="12" customFormat="1" ht="12" customHeight="1"/>
    <row r="1521" s="12" customFormat="1" ht="12" customHeight="1"/>
    <row r="1522" s="12" customFormat="1" ht="12" customHeight="1"/>
    <row r="1523" s="12" customFormat="1" ht="12" customHeight="1"/>
    <row r="1524" s="12" customFormat="1" ht="12" customHeight="1"/>
    <row r="1525" s="12" customFormat="1" ht="12" customHeight="1"/>
    <row r="1526" s="12" customFormat="1" ht="12" customHeight="1"/>
    <row r="1527" s="12" customFormat="1" ht="12" customHeight="1"/>
    <row r="1528" s="12" customFormat="1" ht="12" customHeight="1"/>
    <row r="1529" s="12" customFormat="1" ht="12" customHeight="1"/>
    <row r="1530" s="12" customFormat="1" ht="12" customHeight="1"/>
    <row r="1531" s="12" customFormat="1" ht="12" customHeight="1"/>
    <row r="1532" s="12" customFormat="1" ht="12" customHeight="1"/>
    <row r="1533" s="12" customFormat="1" ht="12" customHeight="1"/>
    <row r="1534" s="12" customFormat="1" ht="12" customHeight="1"/>
    <row r="1535" s="12" customFormat="1" ht="12" customHeight="1"/>
    <row r="1536" s="12" customFormat="1" ht="12" customHeight="1"/>
    <row r="1537" s="12" customFormat="1" ht="12" customHeight="1"/>
    <row r="1538" s="12" customFormat="1" ht="12" customHeight="1"/>
    <row r="1539" s="12" customFormat="1" ht="12" customHeight="1"/>
    <row r="1540" s="12" customFormat="1" ht="12" customHeight="1"/>
    <row r="1541" s="12" customFormat="1" ht="12" customHeight="1"/>
    <row r="1542" s="12" customFormat="1" ht="12" customHeight="1"/>
    <row r="1543" s="12" customFormat="1" ht="12" customHeight="1"/>
    <row r="1544" s="12" customFormat="1" ht="12" customHeight="1"/>
    <row r="1545" s="12" customFormat="1" ht="12" customHeight="1"/>
    <row r="1546" s="12" customFormat="1" ht="12" customHeight="1"/>
    <row r="1547" s="12" customFormat="1" ht="12" customHeight="1"/>
    <row r="1548" s="12" customFormat="1" ht="12" customHeight="1"/>
    <row r="1549" s="12" customFormat="1" ht="12" customHeight="1"/>
    <row r="1550" s="12" customFormat="1" ht="12" customHeight="1"/>
    <row r="1551" s="12" customFormat="1" ht="12" customHeight="1"/>
    <row r="1552" s="12" customFormat="1" ht="12" customHeight="1"/>
    <row r="1553" s="12" customFormat="1" ht="12" customHeight="1"/>
    <row r="1554" s="12" customFormat="1" ht="12" customHeight="1"/>
    <row r="1555" s="12" customFormat="1" ht="12" customHeight="1"/>
    <row r="1556" s="12" customFormat="1" ht="12" customHeight="1"/>
    <row r="1557" s="12" customFormat="1" ht="12" customHeight="1"/>
    <row r="1558" s="12" customFormat="1" ht="12" customHeight="1"/>
    <row r="1559" s="12" customFormat="1" ht="12" customHeight="1"/>
    <row r="1560" s="12" customFormat="1" ht="12" customHeight="1"/>
    <row r="1561" s="12" customFormat="1" ht="12" customHeight="1"/>
    <row r="1562" s="12" customFormat="1" ht="12" customHeight="1"/>
    <row r="1563" s="12" customFormat="1" ht="12" customHeight="1"/>
    <row r="1564" s="12" customFormat="1" ht="12" customHeight="1"/>
    <row r="1565" s="12" customFormat="1" ht="12" customHeight="1"/>
    <row r="1566" s="12" customFormat="1" ht="12" customHeight="1"/>
    <row r="1567" s="12" customFormat="1" ht="12" customHeight="1"/>
    <row r="1568" s="12" customFormat="1" ht="12" customHeight="1"/>
    <row r="1569" s="12" customFormat="1" ht="12" customHeight="1"/>
    <row r="1570" s="12" customFormat="1" ht="12" customHeight="1"/>
    <row r="1571" s="12" customFormat="1" ht="12" customHeight="1"/>
    <row r="1572" s="12" customFormat="1" ht="12" customHeight="1"/>
    <row r="1573" s="12" customFormat="1" ht="12" customHeight="1"/>
    <row r="1574" s="12" customFormat="1" ht="12" customHeight="1"/>
    <row r="1575" s="12" customFormat="1" ht="12" customHeight="1"/>
    <row r="1576" s="12" customFormat="1" ht="12" customHeight="1"/>
    <row r="1577" s="12" customFormat="1" ht="12" customHeight="1"/>
    <row r="1578" s="12" customFormat="1" ht="12" customHeight="1"/>
    <row r="1579" s="12" customFormat="1" ht="12" customHeight="1"/>
    <row r="1580" s="12" customFormat="1" ht="12" customHeight="1"/>
    <row r="1581" s="12" customFormat="1" ht="12" customHeight="1"/>
    <row r="1582" s="12" customFormat="1" ht="12" customHeight="1"/>
    <row r="1583" s="12" customFormat="1" ht="12" customHeight="1"/>
    <row r="1584" s="12" customFormat="1" ht="12" customHeight="1"/>
    <row r="1585" s="12" customFormat="1" ht="12" customHeight="1"/>
    <row r="1586" s="12" customFormat="1" ht="12" customHeight="1"/>
    <row r="1587" s="12" customFormat="1" ht="12" customHeight="1"/>
    <row r="1588" s="12" customFormat="1" ht="12" customHeight="1"/>
    <row r="1589" s="12" customFormat="1" ht="12" customHeight="1"/>
    <row r="1590" s="12" customFormat="1" ht="12" customHeight="1"/>
    <row r="1591" s="12" customFormat="1" ht="12" customHeight="1"/>
    <row r="1592" s="12" customFormat="1" ht="12" customHeight="1"/>
    <row r="1593" s="12" customFormat="1" ht="12" customHeight="1"/>
    <row r="1594" s="12" customFormat="1" ht="12" customHeight="1"/>
    <row r="1595" s="12" customFormat="1" ht="12" customHeight="1"/>
    <row r="1596" s="12" customFormat="1" ht="12" customHeight="1"/>
    <row r="1597" s="12" customFormat="1" ht="12" customHeight="1"/>
    <row r="1598" s="12" customFormat="1" ht="12" customHeight="1"/>
    <row r="1599" s="12" customFormat="1" ht="12" customHeight="1"/>
    <row r="1600" s="12" customFormat="1" ht="12" customHeight="1"/>
    <row r="1601" s="12" customFormat="1" ht="12" customHeight="1"/>
    <row r="1602" s="12" customFormat="1" ht="12" customHeight="1"/>
    <row r="1603" s="12" customFormat="1" ht="12" customHeight="1"/>
    <row r="1604" s="12" customFormat="1" ht="12" customHeight="1"/>
    <row r="1605" s="12" customFormat="1" ht="12" customHeight="1"/>
    <row r="1606" s="12" customFormat="1" ht="12" customHeight="1"/>
    <row r="1607" s="12" customFormat="1" ht="12" customHeight="1"/>
    <row r="1608" s="12" customFormat="1" ht="12" customHeight="1"/>
    <row r="1609" s="12" customFormat="1" ht="12" customHeight="1"/>
    <row r="1610" s="12" customFormat="1" ht="12" customHeight="1"/>
    <row r="1611" s="12" customFormat="1" ht="12" customHeight="1"/>
    <row r="1612" s="12" customFormat="1" ht="12" customHeight="1"/>
    <row r="1613" s="12" customFormat="1" ht="12" customHeight="1"/>
    <row r="1614" s="12" customFormat="1" ht="12" customHeight="1"/>
    <row r="1615" s="12" customFormat="1" ht="12" customHeight="1"/>
    <row r="1616" s="12" customFormat="1" ht="12" customHeight="1"/>
    <row r="1617" s="12" customFormat="1" ht="12" customHeight="1"/>
    <row r="1618" s="12" customFormat="1" ht="12" customHeight="1"/>
    <row r="1619" s="12" customFormat="1" ht="12" customHeight="1"/>
    <row r="1620" s="12" customFormat="1" ht="12" customHeight="1"/>
    <row r="1621" s="12" customFormat="1" ht="12" customHeight="1"/>
    <row r="1622" s="12" customFormat="1" ht="12" customHeight="1"/>
    <row r="1623" s="12" customFormat="1" ht="12" customHeight="1"/>
    <row r="1624" s="12" customFormat="1" ht="12" customHeight="1"/>
    <row r="1625" s="12" customFormat="1" ht="12" customHeight="1"/>
    <row r="1626" s="12" customFormat="1" ht="12" customHeight="1"/>
    <row r="1627" s="12" customFormat="1" ht="12" customHeight="1"/>
    <row r="1628" s="12" customFormat="1" ht="12" customHeight="1"/>
    <row r="1629" s="12" customFormat="1" ht="12" customHeight="1"/>
    <row r="1630" s="12" customFormat="1" ht="12" customHeight="1"/>
    <row r="1631" s="12" customFormat="1" ht="12" customHeight="1"/>
    <row r="1632" s="12" customFormat="1" ht="12" customHeight="1"/>
    <row r="1633" s="12" customFormat="1" ht="12" customHeight="1"/>
    <row r="1634" s="12" customFormat="1" ht="12" customHeight="1"/>
    <row r="1635" s="12" customFormat="1" ht="12" customHeight="1"/>
    <row r="1636" s="12" customFormat="1" ht="12" customHeight="1"/>
    <row r="1637" s="12" customFormat="1" ht="12" customHeight="1"/>
    <row r="1638" s="12" customFormat="1" ht="12" customHeight="1"/>
    <row r="1639" s="12" customFormat="1" ht="12" customHeight="1"/>
    <row r="1640" s="12" customFormat="1" ht="12" customHeight="1"/>
    <row r="1641" s="12" customFormat="1" ht="12" customHeight="1"/>
    <row r="1642" s="12" customFormat="1" ht="12" customHeight="1"/>
    <row r="1643" s="12" customFormat="1" ht="12" customHeight="1"/>
    <row r="1644" s="12" customFormat="1" ht="12" customHeight="1"/>
    <row r="1645" s="12" customFormat="1" ht="12" customHeight="1"/>
    <row r="1646" s="12" customFormat="1" ht="12" customHeight="1"/>
    <row r="1647" s="12" customFormat="1" ht="12" customHeight="1"/>
    <row r="1648" s="12" customFormat="1" ht="12" customHeight="1"/>
    <row r="1649" s="12" customFormat="1" ht="12" customHeight="1"/>
    <row r="1650" s="12" customFormat="1" ht="12" customHeight="1"/>
    <row r="1651" s="12" customFormat="1" ht="12" customHeight="1"/>
    <row r="1652" s="12" customFormat="1" ht="12" customHeight="1"/>
    <row r="1653" s="12" customFormat="1" ht="12" customHeight="1"/>
    <row r="1654" s="12" customFormat="1" ht="12" customHeight="1"/>
    <row r="1655" s="12" customFormat="1" ht="12" customHeight="1"/>
    <row r="1656" s="12" customFormat="1" ht="12" customHeight="1"/>
    <row r="1657" s="12" customFormat="1" ht="12" customHeight="1"/>
    <row r="1658" s="12" customFormat="1" ht="12" customHeight="1"/>
    <row r="1659" s="12" customFormat="1" ht="12" customHeight="1"/>
    <row r="1660" s="12" customFormat="1" ht="12" customHeight="1"/>
    <row r="1661" s="12" customFormat="1" ht="12" customHeight="1"/>
    <row r="1662" s="12" customFormat="1" ht="12" customHeight="1"/>
    <row r="1663" s="12" customFormat="1" ht="12" customHeight="1"/>
    <row r="1664" s="12" customFormat="1" ht="12" customHeight="1"/>
    <row r="1665" s="12" customFormat="1" ht="12" customHeight="1"/>
    <row r="1666" s="12" customFormat="1" ht="12" customHeight="1"/>
    <row r="1667" s="12" customFormat="1" ht="12" customHeight="1"/>
    <row r="1668" s="12" customFormat="1" ht="12" customHeight="1"/>
    <row r="1669" s="12" customFormat="1" ht="12" customHeight="1"/>
    <row r="1670" s="12" customFormat="1" ht="12" customHeight="1"/>
    <row r="1671" s="12" customFormat="1" ht="12" customHeight="1"/>
    <row r="1672" s="12" customFormat="1" ht="12" customHeight="1"/>
    <row r="1673" s="12" customFormat="1" ht="12" customHeight="1"/>
    <row r="1674" s="12" customFormat="1" ht="12" customHeight="1"/>
    <row r="1675" s="12" customFormat="1" ht="12" customHeight="1"/>
    <row r="1676" s="12" customFormat="1" ht="12" customHeight="1"/>
    <row r="1677" s="12" customFormat="1" ht="12" customHeight="1"/>
    <row r="1678" s="12" customFormat="1" ht="12" customHeight="1"/>
    <row r="1679" s="12" customFormat="1" ht="12" customHeight="1"/>
    <row r="1680" s="12" customFormat="1" ht="12" customHeight="1"/>
    <row r="1681" s="12" customFormat="1" ht="12" customHeight="1"/>
    <row r="1682" s="12" customFormat="1" ht="12" customHeight="1"/>
    <row r="1683" s="12" customFormat="1" ht="12" customHeight="1"/>
    <row r="1684" s="12" customFormat="1" ht="12" customHeight="1"/>
    <row r="1685" s="12" customFormat="1" ht="12" customHeight="1"/>
    <row r="1686" s="12" customFormat="1" ht="12" customHeight="1"/>
    <row r="1687" s="12" customFormat="1" ht="12" customHeight="1"/>
    <row r="1688" s="12" customFormat="1" ht="12" customHeight="1"/>
    <row r="1689" s="12" customFormat="1" ht="12" customHeight="1"/>
    <row r="1690" s="12" customFormat="1" ht="12" customHeight="1"/>
    <row r="1691" s="12" customFormat="1" ht="12" customHeight="1"/>
    <row r="1692" s="12" customFormat="1" ht="12" customHeight="1"/>
    <row r="1693" s="12" customFormat="1" ht="12" customHeight="1"/>
    <row r="1694" s="12" customFormat="1" ht="12" customHeight="1"/>
    <row r="1695" s="12" customFormat="1" ht="12" customHeight="1"/>
    <row r="1696" s="12" customFormat="1" ht="12" customHeight="1"/>
    <row r="1697" s="12" customFormat="1" ht="12" customHeight="1"/>
    <row r="1698" s="12" customFormat="1" ht="12" customHeight="1"/>
    <row r="1699" s="12" customFormat="1" ht="12" customHeight="1"/>
    <row r="1700" s="12" customFormat="1" ht="12" customHeight="1"/>
    <row r="1701" s="12" customFormat="1" ht="12" customHeight="1"/>
    <row r="1702" s="12" customFormat="1" ht="12" customHeight="1"/>
    <row r="1703" s="12" customFormat="1" ht="12" customHeight="1"/>
    <row r="1704" s="12" customFormat="1" ht="12" customHeight="1"/>
    <row r="1705" s="12" customFormat="1" ht="12" customHeight="1"/>
    <row r="1706" s="12" customFormat="1" ht="12" customHeight="1"/>
    <row r="1707" s="12" customFormat="1" ht="12" customHeight="1"/>
    <row r="1708" s="12" customFormat="1" ht="12" customHeight="1"/>
    <row r="1709" s="12" customFormat="1" ht="12" customHeight="1"/>
    <row r="1710" s="12" customFormat="1" ht="12" customHeight="1"/>
    <row r="1711" s="12" customFormat="1" ht="12" customHeight="1"/>
    <row r="1712" s="12" customFormat="1" ht="12" customHeight="1"/>
    <row r="1713" s="12" customFormat="1" ht="12" customHeight="1"/>
    <row r="1714" s="12" customFormat="1" ht="12" customHeight="1"/>
    <row r="1715" s="12" customFormat="1" ht="12" customHeight="1"/>
    <row r="1716" s="12" customFormat="1" ht="12" customHeight="1"/>
    <row r="1717" s="12" customFormat="1" ht="12" customHeight="1"/>
    <row r="1718" s="12" customFormat="1" ht="12" customHeight="1"/>
    <row r="1719" s="12" customFormat="1" ht="12" customHeight="1"/>
    <row r="1720" s="12" customFormat="1" ht="12" customHeight="1"/>
    <row r="1721" s="12" customFormat="1" ht="12" customHeight="1"/>
    <row r="1722" s="12" customFormat="1" ht="12" customHeight="1"/>
    <row r="1723" s="12" customFormat="1" ht="12" customHeight="1"/>
    <row r="1724" s="12" customFormat="1" ht="12" customHeight="1"/>
    <row r="1725" s="12" customFormat="1" ht="12" customHeight="1"/>
    <row r="1726" s="12" customFormat="1" ht="12" customHeight="1"/>
    <row r="1727" s="12" customFormat="1" ht="12" customHeight="1"/>
    <row r="1728" s="12" customFormat="1" ht="12" customHeight="1"/>
    <row r="1729" s="12" customFormat="1" ht="12" customHeight="1"/>
    <row r="1730" s="12" customFormat="1" ht="12" customHeight="1"/>
    <row r="1731" s="12" customFormat="1" ht="12" customHeight="1"/>
    <row r="1732" s="12" customFormat="1" ht="12" customHeight="1"/>
    <row r="1733" s="12" customFormat="1" ht="12" customHeight="1"/>
    <row r="1734" s="12" customFormat="1" ht="12" customHeight="1"/>
    <row r="1735" s="12" customFormat="1" ht="12" customHeight="1"/>
    <row r="1736" s="12" customFormat="1" ht="12" customHeight="1"/>
    <row r="1737" s="12" customFormat="1" ht="12" customHeight="1"/>
    <row r="1738" s="12" customFormat="1" ht="12" customHeight="1"/>
    <row r="1739" s="12" customFormat="1" ht="12" customHeight="1"/>
    <row r="1740" s="12" customFormat="1" ht="12" customHeight="1"/>
    <row r="1741" s="12" customFormat="1" ht="12" customHeight="1"/>
    <row r="1742" s="12" customFormat="1" ht="12" customHeight="1"/>
    <row r="1743" s="12" customFormat="1" ht="12" customHeight="1"/>
    <row r="1744" s="12" customFormat="1" ht="12" customHeight="1"/>
    <row r="1745" s="12" customFormat="1" ht="12" customHeight="1"/>
    <row r="1746" s="12" customFormat="1" ht="12" customHeight="1"/>
    <row r="1747" s="12" customFormat="1" ht="12" customHeight="1"/>
    <row r="1748" s="12" customFormat="1" ht="12" customHeight="1"/>
    <row r="1749" s="12" customFormat="1" ht="12" customHeight="1"/>
    <row r="1750" s="12" customFormat="1" ht="12" customHeight="1"/>
    <row r="1751" s="12" customFormat="1" ht="12" customHeight="1"/>
    <row r="1752" s="12" customFormat="1" ht="12" customHeight="1"/>
    <row r="1753" s="12" customFormat="1" ht="12" customHeight="1"/>
    <row r="1754" s="12" customFormat="1" ht="12" customHeight="1"/>
    <row r="1755" s="12" customFormat="1" ht="12" customHeight="1"/>
    <row r="1756" s="12" customFormat="1" ht="12" customHeight="1"/>
    <row r="1757" s="12" customFormat="1" ht="12" customHeight="1"/>
    <row r="1758" s="12" customFormat="1" ht="12" customHeight="1"/>
    <row r="1759" s="12" customFormat="1" ht="12" customHeight="1"/>
    <row r="1760" s="12" customFormat="1" ht="12" customHeight="1"/>
    <row r="1761" s="12" customFormat="1" ht="12" customHeight="1"/>
    <row r="1762" s="12" customFormat="1" ht="12" customHeight="1"/>
    <row r="1763" s="12" customFormat="1" ht="12" customHeight="1"/>
    <row r="1764" s="12" customFormat="1" ht="12" customHeight="1"/>
    <row r="1765" s="12" customFormat="1" ht="12" customHeight="1"/>
    <row r="1766" s="12" customFormat="1" ht="12" customHeight="1"/>
    <row r="1767" s="12" customFormat="1" ht="12" customHeight="1"/>
    <row r="1768" s="12" customFormat="1" ht="12" customHeight="1"/>
    <row r="1769" s="12" customFormat="1" ht="12" customHeight="1"/>
    <row r="1770" s="12" customFormat="1" ht="12" customHeight="1"/>
    <row r="1771" s="12" customFormat="1" ht="12" customHeight="1"/>
    <row r="1772" s="12" customFormat="1" ht="12" customHeight="1"/>
    <row r="1773" s="12" customFormat="1" ht="12" customHeight="1"/>
    <row r="1774" s="12" customFormat="1" ht="12" customHeight="1"/>
    <row r="1775" s="12" customFormat="1" ht="12" customHeight="1"/>
    <row r="1776" s="12" customFormat="1" ht="12" customHeight="1"/>
    <row r="1777" s="12" customFormat="1" ht="12" customHeight="1"/>
    <row r="1778" s="12" customFormat="1" ht="12" customHeight="1"/>
    <row r="1779" s="12" customFormat="1" ht="12" customHeight="1"/>
    <row r="1780" s="12" customFormat="1" ht="12" customHeight="1"/>
    <row r="1781" s="12" customFormat="1" ht="12" customHeight="1"/>
    <row r="1782" s="12" customFormat="1" ht="12" customHeight="1"/>
    <row r="1783" s="12" customFormat="1" ht="12" customHeight="1"/>
    <row r="1784" s="12" customFormat="1" ht="12" customHeight="1"/>
    <row r="1785" s="12" customFormat="1" ht="12" customHeight="1"/>
    <row r="1786" s="12" customFormat="1" ht="12" customHeight="1"/>
    <row r="1787" s="12" customFormat="1" ht="12" customHeight="1"/>
    <row r="1788" s="12" customFormat="1" ht="12" customHeight="1"/>
    <row r="1789" s="12" customFormat="1" ht="12" customHeight="1"/>
    <row r="1790" s="12" customFormat="1" ht="12" customHeight="1"/>
    <row r="1791" s="12" customFormat="1" ht="12" customHeight="1"/>
    <row r="1792" s="12" customFormat="1" ht="12" customHeight="1"/>
    <row r="1793" s="12" customFormat="1" ht="12" customHeight="1"/>
    <row r="1794" s="12" customFormat="1" ht="12" customHeight="1"/>
    <row r="1795" s="12" customFormat="1" ht="12" customHeight="1"/>
    <row r="1796" s="12" customFormat="1" ht="12" customHeight="1"/>
    <row r="1797" s="12" customFormat="1" ht="12" customHeight="1"/>
    <row r="1798" s="12" customFormat="1" ht="12" customHeight="1"/>
    <row r="1799" s="12" customFormat="1" ht="12" customHeight="1"/>
    <row r="1800" s="12" customFormat="1" ht="12" customHeight="1"/>
    <row r="1801" s="12" customFormat="1" ht="12" customHeight="1"/>
    <row r="1802" s="12" customFormat="1" ht="12" customHeight="1"/>
    <row r="1803" s="12" customFormat="1" ht="12" customHeight="1"/>
    <row r="1804" s="12" customFormat="1" ht="12" customHeight="1"/>
    <row r="1805" s="12" customFormat="1" ht="12" customHeight="1"/>
    <row r="1806" s="12" customFormat="1" ht="12" customHeight="1"/>
    <row r="1807" s="12" customFormat="1" ht="12" customHeight="1"/>
    <row r="1808" s="12" customFormat="1" ht="12" customHeight="1"/>
    <row r="1809" s="12" customFormat="1" ht="12" customHeight="1"/>
    <row r="1810" s="12" customFormat="1" ht="12" customHeight="1"/>
    <row r="1811" s="12" customFormat="1" ht="12" customHeight="1"/>
    <row r="1812" s="12" customFormat="1" ht="12" customHeight="1"/>
    <row r="1813" s="12" customFormat="1" ht="12" customHeight="1"/>
    <row r="1814" s="12" customFormat="1" ht="12" customHeight="1"/>
    <row r="1815" s="12" customFormat="1" ht="12" customHeight="1"/>
    <row r="1816" s="12" customFormat="1" ht="12" customHeight="1"/>
    <row r="1817" s="12" customFormat="1" ht="12" customHeight="1"/>
    <row r="1818" s="12" customFormat="1" ht="12" customHeight="1"/>
    <row r="1819" s="12" customFormat="1" ht="12" customHeight="1"/>
    <row r="1820" s="12" customFormat="1" ht="12" customHeight="1"/>
    <row r="1821" s="12" customFormat="1" ht="12" customHeight="1"/>
    <row r="1822" s="12" customFormat="1" ht="12" customHeight="1"/>
    <row r="1823" s="12" customFormat="1" ht="12" customHeight="1"/>
    <row r="1824" s="12" customFormat="1" ht="12" customHeight="1"/>
    <row r="1825" s="12" customFormat="1" ht="12" customHeight="1"/>
    <row r="1826" s="12" customFormat="1" ht="12" customHeight="1"/>
    <row r="1827" s="12" customFormat="1" ht="12" customHeight="1"/>
    <row r="1828" s="12" customFormat="1" ht="12" customHeight="1"/>
    <row r="1829" s="12" customFormat="1" ht="12" customHeight="1"/>
    <row r="1830" s="12" customFormat="1" ht="12" customHeight="1"/>
    <row r="1831" s="12" customFormat="1" ht="12" customHeight="1"/>
    <row r="1832" s="12" customFormat="1" ht="12" customHeight="1"/>
    <row r="1833" s="12" customFormat="1" ht="12" customHeight="1"/>
    <row r="1834" s="12" customFormat="1" ht="12" customHeight="1"/>
    <row r="1835" s="12" customFormat="1" ht="12" customHeight="1"/>
    <row r="1836" s="12" customFormat="1" ht="12" customHeight="1"/>
    <row r="1837" s="12" customFormat="1" ht="12" customHeight="1"/>
    <row r="1838" s="12" customFormat="1" ht="12" customHeight="1"/>
    <row r="1839" s="12" customFormat="1" ht="12" customHeight="1"/>
    <row r="1840" s="12" customFormat="1" ht="12" customHeight="1"/>
    <row r="1841" s="12" customFormat="1" ht="12" customHeight="1"/>
    <row r="1842" s="12" customFormat="1" ht="12" customHeight="1"/>
    <row r="1843" s="12" customFormat="1" ht="12" customHeight="1"/>
    <row r="1844" s="12" customFormat="1" ht="12" customHeight="1"/>
    <row r="1845" s="12" customFormat="1" ht="12" customHeight="1"/>
    <row r="1846" s="12" customFormat="1" ht="12" customHeight="1"/>
    <row r="1847" s="12" customFormat="1" ht="12" customHeight="1"/>
    <row r="1848" s="12" customFormat="1" ht="12" customHeight="1"/>
    <row r="1849" s="12" customFormat="1" ht="12" customHeight="1"/>
    <row r="1850" s="12" customFormat="1" ht="12" customHeight="1"/>
    <row r="1851" s="12" customFormat="1" ht="12" customHeight="1"/>
    <row r="1852" s="12" customFormat="1" ht="12" customHeight="1"/>
    <row r="1853" s="12" customFormat="1" ht="12" customHeight="1"/>
    <row r="1854" s="12" customFormat="1" ht="12" customHeight="1"/>
    <row r="1855" s="12" customFormat="1" ht="12" customHeight="1"/>
    <row r="1856" s="12" customFormat="1" ht="12" customHeight="1"/>
    <row r="1857" s="12" customFormat="1" ht="12" customHeight="1"/>
    <row r="1858" s="12" customFormat="1" ht="12" customHeight="1"/>
    <row r="1859" s="12" customFormat="1" ht="12" customHeight="1"/>
    <row r="1860" s="12" customFormat="1" ht="12" customHeight="1"/>
    <row r="1861" s="12" customFormat="1" ht="12" customHeight="1"/>
    <row r="1862" s="12" customFormat="1" ht="12" customHeight="1"/>
    <row r="1863" s="12" customFormat="1" ht="12" customHeight="1"/>
    <row r="1864" s="12" customFormat="1" ht="12" customHeight="1"/>
    <row r="1865" s="12" customFormat="1" ht="12" customHeight="1"/>
    <row r="1866" s="12" customFormat="1" ht="12" customHeight="1"/>
    <row r="1867" s="12" customFormat="1" ht="12" customHeight="1"/>
    <row r="1868" s="12" customFormat="1" ht="12" customHeight="1"/>
    <row r="1869" s="12" customFormat="1" ht="12" customHeight="1"/>
    <row r="1870" s="12" customFormat="1" ht="12" customHeight="1"/>
    <row r="1871" s="12" customFormat="1" ht="12" customHeight="1"/>
    <row r="1872" s="12" customFormat="1" ht="12" customHeight="1"/>
    <row r="1873" s="12" customFormat="1" ht="12" customHeight="1"/>
    <row r="1874" s="12" customFormat="1" ht="12" customHeight="1"/>
    <row r="1875" s="12" customFormat="1" ht="12" customHeight="1"/>
    <row r="1876" s="12" customFormat="1" ht="12" customHeight="1"/>
    <row r="1877" s="12" customFormat="1" ht="12" customHeight="1"/>
    <row r="1878" s="12" customFormat="1" ht="12" customHeight="1"/>
    <row r="1879" s="12" customFormat="1" ht="12" customHeight="1"/>
    <row r="1880" s="12" customFormat="1" ht="12" customHeight="1"/>
    <row r="1881" s="12" customFormat="1" ht="12" customHeight="1"/>
    <row r="1882" s="12" customFormat="1" ht="12" customHeight="1"/>
    <row r="1883" s="12" customFormat="1" ht="12" customHeight="1"/>
    <row r="1884" s="12" customFormat="1" ht="12" customHeight="1"/>
    <row r="1885" s="12" customFormat="1" ht="12" customHeight="1"/>
    <row r="1886" s="12" customFormat="1" ht="12" customHeight="1"/>
    <row r="1887" s="12" customFormat="1" ht="12" customHeight="1"/>
    <row r="1888" s="12" customFormat="1" ht="12" customHeight="1"/>
    <row r="1889" s="12" customFormat="1" ht="12" customHeight="1"/>
    <row r="1890" s="12" customFormat="1" ht="12" customHeight="1"/>
    <row r="1891" s="12" customFormat="1" ht="12" customHeight="1"/>
    <row r="1892" s="12" customFormat="1" ht="12" customHeight="1"/>
    <row r="1893" s="12" customFormat="1" ht="12" customHeight="1"/>
    <row r="1894" s="12" customFormat="1" ht="12" customHeight="1"/>
    <row r="1895" s="12" customFormat="1" ht="12" customHeight="1"/>
    <row r="1896" s="12" customFormat="1" ht="12" customHeight="1"/>
    <row r="1897" s="12" customFormat="1" ht="12" customHeight="1"/>
    <row r="1898" s="12" customFormat="1" ht="12" customHeight="1"/>
    <row r="1899" s="12" customFormat="1" ht="12" customHeight="1"/>
    <row r="1900" s="12" customFormat="1" ht="12" customHeight="1"/>
    <row r="1901" s="12" customFormat="1" ht="12" customHeight="1"/>
    <row r="1902" s="12" customFormat="1" ht="12" customHeight="1"/>
    <row r="1903" s="12" customFormat="1" ht="12" customHeight="1"/>
    <row r="1904" s="12" customFormat="1" ht="12" customHeight="1"/>
    <row r="1905" s="12" customFormat="1" ht="12" customHeight="1"/>
    <row r="1906" s="12" customFormat="1" ht="12" customHeight="1"/>
    <row r="1907" s="12" customFormat="1" ht="12" customHeight="1"/>
    <row r="1908" s="12" customFormat="1" ht="12" customHeight="1"/>
    <row r="1909" s="12" customFormat="1" ht="12" customHeight="1"/>
    <row r="1910" s="12" customFormat="1" ht="12" customHeight="1"/>
    <row r="1911" s="12" customFormat="1" ht="12" customHeight="1"/>
    <row r="1912" s="12" customFormat="1" ht="12" customHeight="1"/>
    <row r="1913" s="12" customFormat="1" ht="12" customHeight="1"/>
    <row r="1914" s="12" customFormat="1" ht="12" customHeight="1"/>
    <row r="1915" s="12" customFormat="1" ht="12" customHeight="1"/>
    <row r="1916" s="12" customFormat="1" ht="12" customHeight="1"/>
    <row r="1917" s="12" customFormat="1" ht="12" customHeight="1"/>
    <row r="1918" s="12" customFormat="1" ht="12" customHeight="1"/>
    <row r="1919" s="12" customFormat="1" ht="12" customHeight="1"/>
    <row r="1920" s="12" customFormat="1" ht="12" customHeight="1"/>
    <row r="1921" s="12" customFormat="1" ht="12" customHeight="1"/>
    <row r="1922" s="12" customFormat="1" ht="12" customHeight="1"/>
    <row r="1923" s="12" customFormat="1" ht="12" customHeight="1"/>
    <row r="1924" s="12" customFormat="1" ht="12" customHeight="1"/>
    <row r="1925" s="12" customFormat="1" ht="12" customHeight="1"/>
    <row r="1926" s="12" customFormat="1" ht="12" customHeight="1"/>
    <row r="1927" s="12" customFormat="1" ht="12" customHeight="1"/>
    <row r="1928" s="12" customFormat="1" ht="12" customHeight="1"/>
    <row r="1929" s="12" customFormat="1" ht="12" customHeight="1"/>
    <row r="1930" s="12" customFormat="1" ht="12" customHeight="1"/>
    <row r="1931" s="12" customFormat="1" ht="12" customHeight="1"/>
    <row r="1932" s="12" customFormat="1" ht="12" customHeight="1"/>
    <row r="1933" s="12" customFormat="1" ht="12" customHeight="1"/>
    <row r="1934" s="12" customFormat="1" ht="12" customHeight="1"/>
    <row r="1935" s="12" customFormat="1" ht="12" customHeight="1"/>
    <row r="1936" s="12" customFormat="1" ht="12" customHeight="1"/>
    <row r="1937" s="12" customFormat="1" ht="12" customHeight="1"/>
    <row r="1938" s="12" customFormat="1" ht="12" customHeight="1"/>
    <row r="1939" s="12" customFormat="1" ht="12" customHeight="1"/>
    <row r="1940" s="12" customFormat="1" ht="12" customHeight="1"/>
    <row r="1941" s="12" customFormat="1" ht="12" customHeight="1"/>
    <row r="1942" s="12" customFormat="1" ht="12" customHeight="1"/>
    <row r="1943" s="12" customFormat="1" ht="12" customHeight="1"/>
    <row r="1944" s="12" customFormat="1" ht="12" customHeight="1"/>
    <row r="1945" s="12" customFormat="1" ht="12" customHeight="1"/>
    <row r="1946" s="12" customFormat="1" ht="12" customHeight="1"/>
    <row r="1947" s="12" customFormat="1" ht="12" customHeight="1"/>
    <row r="1948" s="12" customFormat="1" ht="12" customHeight="1"/>
    <row r="1949" s="12" customFormat="1" ht="12" customHeight="1"/>
    <row r="1950" s="12" customFormat="1" ht="12" customHeight="1"/>
    <row r="1951" s="12" customFormat="1" ht="12" customHeight="1"/>
    <row r="1952" s="12" customFormat="1" ht="12" customHeight="1"/>
    <row r="1953" s="12" customFormat="1" ht="12" customHeight="1"/>
    <row r="1954" s="12" customFormat="1" ht="12" customHeight="1"/>
    <row r="1955" s="12" customFormat="1" ht="12" customHeight="1"/>
    <row r="1956" s="12" customFormat="1" ht="12" customHeight="1"/>
    <row r="1957" s="12" customFormat="1" ht="12" customHeight="1"/>
    <row r="1958" s="12" customFormat="1" ht="12" customHeight="1"/>
    <row r="1959" s="12" customFormat="1" ht="12" customHeight="1"/>
    <row r="1960" s="12" customFormat="1" ht="12" customHeight="1"/>
    <row r="1961" s="12" customFormat="1" ht="12" customHeight="1"/>
    <row r="1962" s="12" customFormat="1" ht="12" customHeight="1"/>
    <row r="1963" s="12" customFormat="1" ht="12" customHeight="1"/>
    <row r="1964" s="12" customFormat="1" ht="12" customHeight="1"/>
    <row r="1965" s="12" customFormat="1" ht="12" customHeight="1"/>
    <row r="1966" s="12" customFormat="1" ht="12" customHeight="1"/>
    <row r="1967" s="12" customFormat="1" ht="12" customHeight="1"/>
    <row r="1968" s="12" customFormat="1" ht="12" customHeight="1"/>
    <row r="1969" s="12" customFormat="1" ht="12" customHeight="1"/>
    <row r="1970" s="12" customFormat="1" ht="12" customHeight="1"/>
    <row r="1971" s="12" customFormat="1" ht="12" customHeight="1"/>
    <row r="1972" s="12" customFormat="1" ht="12" customHeight="1"/>
    <row r="1973" s="12" customFormat="1" ht="12" customHeight="1"/>
    <row r="1974" s="12" customFormat="1" ht="12" customHeight="1"/>
    <row r="1975" s="12" customFormat="1" ht="12" customHeight="1"/>
    <row r="1976" s="12" customFormat="1" ht="12" customHeight="1"/>
    <row r="1977" s="12" customFormat="1" ht="12" customHeight="1"/>
    <row r="1978" s="12" customFormat="1" ht="12" customHeight="1"/>
    <row r="1979" s="12" customFormat="1" ht="12" customHeight="1"/>
    <row r="1980" s="12" customFormat="1" ht="12" customHeight="1"/>
    <row r="1981" s="12" customFormat="1" ht="12" customHeight="1"/>
    <row r="1982" s="12" customFormat="1" ht="12" customHeight="1"/>
    <row r="1983" s="12" customFormat="1" ht="12" customHeight="1"/>
    <row r="1984" s="12" customFormat="1" ht="12" customHeight="1"/>
    <row r="1985" s="12" customFormat="1" ht="12" customHeight="1"/>
    <row r="1986" s="12" customFormat="1" ht="12" customHeight="1"/>
    <row r="1987" s="12" customFormat="1" ht="12" customHeight="1"/>
    <row r="1988" s="12" customFormat="1" ht="12" customHeight="1"/>
    <row r="1989" s="12" customFormat="1" ht="12" customHeight="1"/>
    <row r="1990" s="12" customFormat="1" ht="12" customHeight="1"/>
    <row r="1991" s="12" customFormat="1" ht="12" customHeight="1"/>
    <row r="1992" s="12" customFormat="1" ht="12" customHeight="1"/>
    <row r="1993" s="12" customFormat="1" ht="12" customHeight="1"/>
    <row r="1994" s="12" customFormat="1" ht="12" customHeight="1"/>
    <row r="1995" s="12" customFormat="1" ht="12" customHeight="1"/>
    <row r="1996" s="12" customFormat="1" ht="12" customHeight="1"/>
    <row r="1997" s="12" customFormat="1" ht="12" customHeight="1"/>
    <row r="1998" s="12" customFormat="1" ht="12" customHeight="1"/>
    <row r="1999" s="12" customFormat="1" ht="12" customHeight="1"/>
    <row r="2000" s="12" customFormat="1" ht="12" customHeight="1"/>
    <row r="2001" s="12" customFormat="1" ht="12" customHeight="1"/>
    <row r="2002" s="12" customFormat="1" ht="12" customHeight="1"/>
    <row r="2003" s="12" customFormat="1" ht="12" customHeight="1"/>
    <row r="2004" s="12" customFormat="1" ht="12" customHeight="1"/>
    <row r="2005" s="12" customFormat="1" ht="12" customHeight="1"/>
    <row r="2006" s="12" customFormat="1" ht="12" customHeight="1"/>
    <row r="2007" s="12" customFormat="1" ht="12" customHeight="1"/>
    <row r="2008" s="12" customFormat="1" ht="12" customHeight="1"/>
    <row r="2009" s="12" customFormat="1" ht="12" customHeight="1"/>
    <row r="2010" s="12" customFormat="1" ht="12" customHeight="1"/>
    <row r="2011" s="12" customFormat="1" ht="12" customHeight="1"/>
    <row r="2012" s="12" customFormat="1" ht="12" customHeight="1"/>
    <row r="2013" s="12" customFormat="1" ht="12" customHeight="1"/>
    <row r="2014" s="12" customFormat="1" ht="12" customHeight="1"/>
    <row r="2015" s="12" customFormat="1" ht="12" customHeight="1"/>
    <row r="2016" s="12" customFormat="1" ht="12" customHeight="1"/>
    <row r="2017" s="12" customFormat="1" ht="12" customHeight="1"/>
    <row r="2018" s="12" customFormat="1" ht="12" customHeight="1"/>
    <row r="2019" s="12" customFormat="1" ht="12" customHeight="1"/>
    <row r="2020" s="12" customFormat="1" ht="12" customHeight="1"/>
    <row r="2021" s="12" customFormat="1" ht="12" customHeight="1"/>
    <row r="2022" s="12" customFormat="1" ht="12" customHeight="1"/>
    <row r="2023" s="12" customFormat="1" ht="12" customHeight="1"/>
    <row r="2024" s="12" customFormat="1" ht="12" customHeight="1"/>
    <row r="2025" s="12" customFormat="1" ht="12" customHeight="1"/>
    <row r="2026" s="12" customFormat="1" ht="12" customHeight="1"/>
    <row r="2027" s="12" customFormat="1" ht="12" customHeight="1"/>
    <row r="2028" s="12" customFormat="1" ht="12" customHeight="1"/>
    <row r="2029" s="12" customFormat="1" ht="12" customHeight="1"/>
    <row r="2030" s="12" customFormat="1" ht="12" customHeight="1"/>
    <row r="2031" s="12" customFormat="1" ht="12" customHeight="1"/>
    <row r="2032" s="12" customFormat="1" ht="12" customHeight="1"/>
    <row r="2033" s="12" customFormat="1" ht="12" customHeight="1"/>
    <row r="2034" s="12" customFormat="1" ht="12" customHeight="1"/>
    <row r="2035" s="12" customFormat="1" ht="12" customHeight="1"/>
    <row r="2036" s="12" customFormat="1" ht="12" customHeight="1"/>
    <row r="2037" s="12" customFormat="1" ht="12" customHeight="1"/>
    <row r="2038" s="12" customFormat="1" ht="12" customHeight="1"/>
    <row r="2039" s="12" customFormat="1" ht="12" customHeight="1"/>
    <row r="2040" s="12" customFormat="1" ht="12" customHeight="1"/>
    <row r="2041" s="12" customFormat="1" ht="12" customHeight="1"/>
    <row r="2042" s="12" customFormat="1" ht="12" customHeight="1"/>
    <row r="2043" s="12" customFormat="1" ht="12" customHeight="1"/>
    <row r="2044" s="12" customFormat="1" ht="12" customHeight="1"/>
    <row r="2045" s="12" customFormat="1" ht="12" customHeight="1"/>
    <row r="2046" s="12" customFormat="1" ht="12" customHeight="1"/>
    <row r="2047" s="12" customFormat="1" ht="12" customHeight="1"/>
    <row r="2048" s="12" customFormat="1" ht="12" customHeight="1"/>
    <row r="2049" s="12" customFormat="1" ht="12" customHeight="1"/>
    <row r="2050" s="12" customFormat="1" ht="12" customHeight="1"/>
    <row r="2051" s="12" customFormat="1" ht="12" customHeight="1"/>
    <row r="2052" s="12" customFormat="1" ht="12" customHeight="1"/>
    <row r="2053" s="12" customFormat="1" ht="12" customHeight="1"/>
    <row r="2054" s="12" customFormat="1" ht="12" customHeight="1"/>
    <row r="2055" s="12" customFormat="1" ht="12" customHeight="1"/>
    <row r="2056" s="12" customFormat="1" ht="12" customHeight="1"/>
    <row r="2057" s="12" customFormat="1" ht="12" customHeight="1"/>
    <row r="2058" s="12" customFormat="1" ht="12" customHeight="1"/>
    <row r="2059" s="12" customFormat="1" ht="12" customHeight="1"/>
    <row r="2060" s="12" customFormat="1" ht="12" customHeight="1"/>
    <row r="2061" s="12" customFormat="1" ht="12" customHeight="1"/>
    <row r="2062" s="12" customFormat="1" ht="12" customHeight="1"/>
    <row r="2063" s="12" customFormat="1" ht="12" customHeight="1"/>
    <row r="2064" s="12" customFormat="1" ht="12" customHeight="1"/>
    <row r="2065" s="12" customFormat="1" ht="12" customHeight="1"/>
    <row r="2066" s="12" customFormat="1" ht="12" customHeight="1"/>
    <row r="2067" s="12" customFormat="1" ht="12" customHeight="1"/>
    <row r="2068" s="12" customFormat="1" ht="12" customHeight="1"/>
    <row r="2069" s="12" customFormat="1" ht="12" customHeight="1"/>
    <row r="2070" s="12" customFormat="1" ht="12" customHeight="1"/>
    <row r="2071" s="12" customFormat="1" ht="12" customHeight="1"/>
    <row r="2072" s="12" customFormat="1" ht="12" customHeight="1"/>
    <row r="2073" s="12" customFormat="1" ht="12" customHeight="1"/>
    <row r="2074" s="12" customFormat="1" ht="12" customHeight="1"/>
    <row r="2075" s="12" customFormat="1" ht="12" customHeight="1"/>
    <row r="2076" s="12" customFormat="1" ht="12" customHeight="1"/>
    <row r="2077" s="12" customFormat="1" ht="12" customHeight="1"/>
    <row r="2078" s="12" customFormat="1" ht="12" customHeight="1"/>
    <row r="2079" s="12" customFormat="1" ht="12" customHeight="1"/>
    <row r="2080" s="12" customFormat="1" ht="12" customHeight="1"/>
    <row r="2081" s="12" customFormat="1" ht="12" customHeight="1"/>
    <row r="2082" s="12" customFormat="1" ht="12" customHeight="1"/>
    <row r="2083" s="12" customFormat="1" ht="12" customHeight="1"/>
    <row r="2084" s="12" customFormat="1" ht="12" customHeight="1"/>
    <row r="2085" s="12" customFormat="1" ht="12" customHeight="1"/>
    <row r="2086" s="12" customFormat="1" ht="12" customHeight="1"/>
    <row r="2087" s="12" customFormat="1" ht="12" customHeight="1"/>
    <row r="2088" s="12" customFormat="1" ht="12" customHeight="1"/>
    <row r="2089" s="12" customFormat="1" ht="12" customHeight="1"/>
    <row r="2090" s="12" customFormat="1" ht="12" customHeight="1"/>
    <row r="2091" s="12" customFormat="1" ht="12" customHeight="1"/>
    <row r="2092" s="12" customFormat="1" ht="12" customHeight="1"/>
    <row r="2093" s="12" customFormat="1" ht="12" customHeight="1"/>
    <row r="2094" s="12" customFormat="1" ht="12" customHeight="1"/>
    <row r="2095" s="12" customFormat="1" ht="12" customHeight="1"/>
    <row r="2096" s="12" customFormat="1" ht="12" customHeight="1"/>
    <row r="2097" s="12" customFormat="1" ht="12" customHeight="1"/>
    <row r="2098" s="12" customFormat="1" ht="12" customHeight="1"/>
    <row r="2099" s="12" customFormat="1" ht="12" customHeight="1"/>
    <row r="2100" s="12" customFormat="1" ht="12" customHeight="1"/>
    <row r="2101" s="12" customFormat="1" ht="12" customHeight="1"/>
    <row r="2102" s="12" customFormat="1" ht="12" customHeight="1"/>
    <row r="2103" s="12" customFormat="1" ht="12" customHeight="1"/>
    <row r="2104" s="12" customFormat="1" ht="12" customHeight="1"/>
    <row r="2105" s="12" customFormat="1" ht="12" customHeight="1"/>
    <row r="2106" s="12" customFormat="1" ht="12" customHeight="1"/>
    <row r="2107" s="12" customFormat="1" ht="12" customHeight="1"/>
    <row r="2108" s="12" customFormat="1" ht="12" customHeight="1"/>
    <row r="2109" s="12" customFormat="1" ht="12" customHeight="1"/>
    <row r="2110" s="12" customFormat="1" ht="12" customHeight="1"/>
    <row r="2111" s="12" customFormat="1" ht="12" customHeight="1"/>
    <row r="2112" s="12" customFormat="1" ht="12" customHeight="1"/>
    <row r="2113" s="12" customFormat="1" ht="12" customHeight="1"/>
    <row r="2114" s="12" customFormat="1" ht="12" customHeight="1"/>
    <row r="2115" s="12" customFormat="1" ht="12" customHeight="1"/>
    <row r="2116" s="12" customFormat="1" ht="12" customHeight="1"/>
    <row r="2117" s="12" customFormat="1" ht="12" customHeight="1"/>
    <row r="2118" s="12" customFormat="1" ht="12" customHeight="1"/>
    <row r="2119" s="12" customFormat="1" ht="12" customHeight="1"/>
    <row r="2120" s="12" customFormat="1" ht="12" customHeight="1"/>
    <row r="2121" s="12" customFormat="1" ht="12" customHeight="1"/>
    <row r="2122" s="12" customFormat="1" ht="12" customHeight="1"/>
    <row r="2123" s="12" customFormat="1" ht="12" customHeight="1"/>
    <row r="2124" s="12" customFormat="1" ht="12" customHeight="1"/>
    <row r="2125" s="12" customFormat="1" ht="12" customHeight="1"/>
    <row r="2126" s="12" customFormat="1" ht="12" customHeight="1"/>
    <row r="2127" s="12" customFormat="1" ht="12" customHeight="1"/>
    <row r="2128" s="12" customFormat="1" ht="12" customHeight="1"/>
    <row r="2129" s="12" customFormat="1" ht="12" customHeight="1"/>
    <row r="2130" s="12" customFormat="1" ht="12" customHeight="1"/>
    <row r="2131" s="12" customFormat="1" ht="12" customHeight="1"/>
    <row r="2132" s="12" customFormat="1" ht="12" customHeight="1"/>
    <row r="2133" s="12" customFormat="1" ht="12" customHeight="1"/>
    <row r="2134" s="12" customFormat="1" ht="12" customHeight="1"/>
    <row r="2135" s="12" customFormat="1" ht="12" customHeight="1"/>
    <row r="2136" s="12" customFormat="1" ht="12" customHeight="1"/>
    <row r="2137" s="12" customFormat="1" ht="12" customHeight="1"/>
    <row r="2138" s="12" customFormat="1" ht="12" customHeight="1"/>
    <row r="2139" s="12" customFormat="1" ht="12" customHeight="1"/>
    <row r="2140" s="12" customFormat="1" ht="12" customHeight="1"/>
    <row r="2141" s="12" customFormat="1" ht="12" customHeight="1"/>
    <row r="2142" s="12" customFormat="1" ht="12" customHeight="1"/>
    <row r="2143" s="12" customFormat="1" ht="12" customHeight="1"/>
    <row r="2144" s="12" customFormat="1" ht="12" customHeight="1"/>
    <row r="2145" s="12" customFormat="1" ht="12" customHeight="1"/>
    <row r="2146" s="12" customFormat="1" ht="12" customHeight="1"/>
    <row r="2147" s="12" customFormat="1" ht="12" customHeight="1"/>
    <row r="2148" s="12" customFormat="1" ht="12" customHeight="1"/>
    <row r="2149" s="12" customFormat="1" ht="12" customHeight="1"/>
    <row r="2150" s="12" customFormat="1" ht="12" customHeight="1"/>
    <row r="2151" s="12" customFormat="1" ht="12" customHeight="1"/>
    <row r="2152" s="12" customFormat="1" ht="12" customHeight="1"/>
    <row r="2153" s="12" customFormat="1" ht="12" customHeight="1"/>
    <row r="2154" s="12" customFormat="1" ht="12" customHeight="1"/>
    <row r="2155" s="12" customFormat="1" ht="12" customHeight="1"/>
    <row r="2156" s="12" customFormat="1" ht="12" customHeight="1"/>
    <row r="2157" s="12" customFormat="1" ht="12" customHeight="1"/>
    <row r="2158" s="12" customFormat="1" ht="12" customHeight="1"/>
    <row r="2159" s="12" customFormat="1" ht="12" customHeight="1"/>
    <row r="2160" s="12" customFormat="1" ht="12" customHeight="1"/>
    <row r="2161" s="12" customFormat="1" ht="12" customHeight="1"/>
    <row r="2162" s="12" customFormat="1" ht="12" customHeight="1"/>
    <row r="2163" s="12" customFormat="1" ht="12" customHeight="1"/>
    <row r="2164" s="12" customFormat="1" ht="12" customHeight="1"/>
    <row r="2165" s="12" customFormat="1" ht="12" customHeight="1"/>
    <row r="2166" s="12" customFormat="1" ht="12" customHeight="1"/>
    <row r="2167" s="12" customFormat="1" ht="12" customHeight="1"/>
    <row r="2168" s="12" customFormat="1" ht="12" customHeight="1"/>
    <row r="2169" s="12" customFormat="1" ht="12" customHeight="1"/>
    <row r="2170" s="12" customFormat="1" ht="12" customHeight="1"/>
    <row r="2171" s="12" customFormat="1" ht="12" customHeight="1"/>
    <row r="2172" s="12" customFormat="1" ht="12" customHeight="1"/>
    <row r="2173" s="12" customFormat="1" ht="12" customHeight="1"/>
    <row r="2174" s="12" customFormat="1" ht="12" customHeight="1"/>
    <row r="2175" s="12" customFormat="1" ht="12" customHeight="1"/>
    <row r="2176" s="12" customFormat="1" ht="12" customHeight="1"/>
    <row r="2177" s="12" customFormat="1" ht="12" customHeight="1"/>
    <row r="2178" s="12" customFormat="1" ht="12" customHeight="1"/>
    <row r="2179" s="12" customFormat="1" ht="12" customHeight="1"/>
    <row r="2180" s="12" customFormat="1" ht="12" customHeight="1"/>
    <row r="2181" s="12" customFormat="1" ht="12" customHeight="1"/>
    <row r="2182" s="12" customFormat="1" ht="12" customHeight="1"/>
    <row r="2183" s="12" customFormat="1" ht="12" customHeight="1"/>
    <row r="2184" s="12" customFormat="1" ht="12" customHeight="1"/>
    <row r="2185" s="12" customFormat="1" ht="12" customHeight="1"/>
    <row r="2186" s="12" customFormat="1" ht="12" customHeight="1"/>
    <row r="2187" s="12" customFormat="1" ht="12" customHeight="1"/>
    <row r="2188" s="12" customFormat="1" ht="12" customHeight="1"/>
    <row r="2189" s="12" customFormat="1" ht="12" customHeight="1"/>
    <row r="2190" s="12" customFormat="1" ht="12" customHeight="1"/>
    <row r="2191" s="12" customFormat="1" ht="12" customHeight="1"/>
    <row r="2192" s="12" customFormat="1" ht="12" customHeight="1"/>
    <row r="2193" s="12" customFormat="1" ht="12" customHeight="1"/>
    <row r="2194" s="12" customFormat="1" ht="12" customHeight="1"/>
    <row r="2195" s="12" customFormat="1" ht="12" customHeight="1"/>
    <row r="2196" s="12" customFormat="1" ht="12" customHeight="1"/>
    <row r="2197" s="12" customFormat="1" ht="12" customHeight="1"/>
    <row r="2198" s="12" customFormat="1" ht="12" customHeight="1"/>
    <row r="2199" s="12" customFormat="1" ht="12" customHeight="1"/>
    <row r="2200" s="12" customFormat="1" ht="12" customHeight="1"/>
    <row r="2201" s="12" customFormat="1" ht="12" customHeight="1"/>
    <row r="2202" s="12" customFormat="1" ht="12" customHeight="1"/>
    <row r="2203" s="12" customFormat="1" ht="12" customHeight="1"/>
    <row r="2204" s="12" customFormat="1" ht="12" customHeight="1"/>
    <row r="2205" s="12" customFormat="1" ht="12" customHeight="1"/>
    <row r="2206" s="12" customFormat="1" ht="12" customHeight="1"/>
    <row r="2207" s="12" customFormat="1" ht="12" customHeight="1"/>
    <row r="2208" s="12" customFormat="1" ht="12" customHeight="1"/>
    <row r="2209" s="12" customFormat="1" ht="12" customHeight="1"/>
    <row r="2210" s="12" customFormat="1" ht="12" customHeight="1"/>
    <row r="2211" s="12" customFormat="1" ht="12" customHeight="1"/>
    <row r="2212" s="12" customFormat="1" ht="12" customHeight="1"/>
    <row r="2213" s="12" customFormat="1" ht="12" customHeight="1"/>
    <row r="2214" s="12" customFormat="1" ht="12" customHeight="1"/>
    <row r="2215" s="12" customFormat="1" ht="12" customHeight="1"/>
    <row r="2216" s="12" customFormat="1" ht="12" customHeight="1"/>
    <row r="2217" s="12" customFormat="1" ht="12" customHeight="1"/>
    <row r="2218" s="12" customFormat="1" ht="12" customHeight="1"/>
    <row r="2219" s="12" customFormat="1" ht="12" customHeight="1"/>
    <row r="2220" s="12" customFormat="1" ht="12" customHeight="1"/>
    <row r="2221" s="12" customFormat="1" ht="12" customHeight="1"/>
    <row r="2222" s="12" customFormat="1" ht="12" customHeight="1"/>
    <row r="2223" s="12" customFormat="1" ht="12" customHeight="1"/>
    <row r="2224" s="12" customFormat="1" ht="12" customHeight="1"/>
    <row r="2225" s="12" customFormat="1" ht="12" customHeight="1"/>
    <row r="2226" s="12" customFormat="1" ht="12" customHeight="1"/>
    <row r="2227" s="12" customFormat="1" ht="12" customHeight="1"/>
    <row r="2228" s="12" customFormat="1" ht="12" customHeight="1"/>
    <row r="2229" s="12" customFormat="1" ht="12" customHeight="1"/>
    <row r="2230" s="12" customFormat="1" ht="12" customHeight="1"/>
    <row r="2231" s="12" customFormat="1" ht="12" customHeight="1"/>
    <row r="2232" s="12" customFormat="1" ht="12" customHeight="1"/>
    <row r="2233" s="12" customFormat="1" ht="12" customHeight="1"/>
    <row r="2234" s="12" customFormat="1" ht="12" customHeight="1"/>
    <row r="2235" s="12" customFormat="1" ht="12" customHeight="1"/>
    <row r="2236" s="12" customFormat="1" ht="12" customHeight="1"/>
    <row r="2237" s="12" customFormat="1" ht="12" customHeight="1"/>
    <row r="2238" s="12" customFormat="1" ht="12" customHeight="1"/>
    <row r="2239" s="12" customFormat="1" ht="12" customHeight="1"/>
    <row r="2240" s="12" customFormat="1" ht="12" customHeight="1"/>
    <row r="2241" s="12" customFormat="1" ht="12" customHeight="1"/>
    <row r="2242" s="12" customFormat="1" ht="12" customHeight="1"/>
    <row r="2243" s="12" customFormat="1" ht="12" customHeight="1"/>
    <row r="2244" s="12" customFormat="1" ht="12" customHeight="1"/>
    <row r="2245" s="12" customFormat="1" ht="12" customHeight="1"/>
    <row r="2246" s="12" customFormat="1" ht="12" customHeight="1"/>
    <row r="2247" s="12" customFormat="1" ht="12" customHeight="1"/>
    <row r="2248" s="12" customFormat="1" ht="12" customHeight="1"/>
    <row r="2249" s="12" customFormat="1" ht="12" customHeight="1"/>
    <row r="2250" s="12" customFormat="1" ht="12" customHeight="1"/>
    <row r="2251" s="12" customFormat="1" ht="12" customHeight="1"/>
    <row r="2252" s="12" customFormat="1" ht="12" customHeight="1"/>
    <row r="2253" s="12" customFormat="1" ht="12" customHeight="1"/>
    <row r="2254" s="12" customFormat="1" ht="12" customHeight="1"/>
    <row r="2255" s="12" customFormat="1" ht="12" customHeight="1"/>
    <row r="2256" s="12" customFormat="1" ht="12" customHeight="1"/>
    <row r="2257" s="12" customFormat="1" ht="12" customHeight="1"/>
    <row r="2258" s="12" customFormat="1" ht="12" customHeight="1"/>
    <row r="2259" s="12" customFormat="1" ht="12" customHeight="1"/>
    <row r="2260" s="12" customFormat="1" ht="12" customHeight="1"/>
    <row r="2261" s="12" customFormat="1" ht="12" customHeight="1"/>
    <row r="2262" s="12" customFormat="1" ht="12" customHeight="1"/>
    <row r="2263" s="12" customFormat="1" ht="12" customHeight="1"/>
    <row r="2264" s="12" customFormat="1" ht="12" customHeight="1"/>
    <row r="2265" s="12" customFormat="1" ht="12" customHeight="1"/>
    <row r="2266" s="12" customFormat="1" ht="12" customHeight="1"/>
    <row r="2267" s="12" customFormat="1" ht="12" customHeight="1"/>
    <row r="2268" s="12" customFormat="1" ht="12" customHeight="1"/>
    <row r="2269" s="12" customFormat="1" ht="12" customHeight="1"/>
    <row r="2270" s="12" customFormat="1" ht="12" customHeight="1"/>
    <row r="2271" s="12" customFormat="1" ht="12" customHeight="1"/>
    <row r="2272" s="12" customFormat="1" ht="12" customHeight="1"/>
    <row r="2273" s="12" customFormat="1" ht="12" customHeight="1"/>
    <row r="2274" s="12" customFormat="1" ht="12" customHeight="1"/>
    <row r="2275" s="12" customFormat="1" ht="12" customHeight="1"/>
    <row r="2276" s="12" customFormat="1" ht="12" customHeight="1"/>
    <row r="2277" s="12" customFormat="1" ht="12" customHeight="1"/>
    <row r="2278" s="12" customFormat="1" ht="12" customHeight="1"/>
    <row r="2279" s="12" customFormat="1" ht="12" customHeight="1"/>
    <row r="2280" s="12" customFormat="1" ht="12" customHeight="1"/>
    <row r="2281" s="12" customFormat="1" ht="12" customHeight="1"/>
    <row r="2282" s="12" customFormat="1" ht="12" customHeight="1"/>
    <row r="2283" s="12" customFormat="1" ht="12" customHeight="1"/>
    <row r="2284" s="12" customFormat="1" ht="12" customHeight="1"/>
    <row r="2285" s="12" customFormat="1" ht="12" customHeight="1"/>
    <row r="2286" s="12" customFormat="1" ht="12" customHeight="1"/>
    <row r="2287" s="12" customFormat="1" ht="12" customHeight="1"/>
    <row r="2288" s="12" customFormat="1" ht="12" customHeight="1"/>
    <row r="2289" s="12" customFormat="1" ht="12" customHeight="1"/>
    <row r="2290" s="12" customFormat="1" ht="12" customHeight="1"/>
    <row r="2291" s="12" customFormat="1" ht="12" customHeight="1"/>
    <row r="2292" s="12" customFormat="1" ht="12" customHeight="1"/>
    <row r="2293" s="12" customFormat="1" ht="12" customHeight="1"/>
    <row r="2294" s="12" customFormat="1" ht="12" customHeight="1"/>
    <row r="2295" s="12" customFormat="1" ht="12" customHeight="1"/>
    <row r="2296" s="12" customFormat="1" ht="12" customHeight="1"/>
    <row r="2297" s="12" customFormat="1" ht="12" customHeight="1"/>
    <row r="2298" s="12" customFormat="1" ht="12" customHeight="1"/>
    <row r="2299" s="12" customFormat="1" ht="12" customHeight="1"/>
    <row r="2300" s="12" customFormat="1" ht="12" customHeight="1"/>
    <row r="2301" s="12" customFormat="1" ht="12" customHeight="1"/>
    <row r="2302" s="12" customFormat="1" ht="12" customHeight="1"/>
    <row r="2303" s="12" customFormat="1" ht="12" customHeight="1"/>
    <row r="2304" s="12" customFormat="1" ht="12" customHeight="1"/>
    <row r="2305" s="12" customFormat="1" ht="12" customHeight="1"/>
    <row r="2306" s="12" customFormat="1" ht="12" customHeight="1"/>
    <row r="2307" s="12" customFormat="1" ht="12" customHeight="1"/>
    <row r="2308" s="12" customFormat="1" ht="12" customHeight="1"/>
    <row r="2309" s="12" customFormat="1" ht="12" customHeight="1"/>
    <row r="2310" s="12" customFormat="1" ht="12" customHeight="1"/>
    <row r="2311" s="12" customFormat="1" ht="12" customHeight="1"/>
    <row r="2312" s="12" customFormat="1" ht="12" customHeight="1"/>
    <row r="2313" s="12" customFormat="1" ht="12" customHeight="1"/>
    <row r="2314" s="12" customFormat="1" ht="12" customHeight="1"/>
    <row r="2315" s="12" customFormat="1" ht="12" customHeight="1"/>
    <row r="2316" s="12" customFormat="1" ht="12" customHeight="1"/>
    <row r="2317" s="12" customFormat="1" ht="12" customHeight="1"/>
    <row r="2318" s="12" customFormat="1" ht="12" customHeight="1"/>
    <row r="2319" s="12" customFormat="1" ht="12" customHeight="1"/>
    <row r="2320" s="12" customFormat="1" ht="12" customHeight="1"/>
    <row r="2321" s="12" customFormat="1" ht="12" customHeight="1"/>
    <row r="2322" s="12" customFormat="1" ht="12" customHeight="1"/>
    <row r="2323" s="12" customFormat="1" ht="12" customHeight="1"/>
    <row r="2324" s="12" customFormat="1" ht="12" customHeight="1"/>
    <row r="2325" s="12" customFormat="1" ht="12" customHeight="1"/>
    <row r="2326" s="12" customFormat="1" ht="12" customHeight="1"/>
    <row r="2327" s="12" customFormat="1" ht="12" customHeight="1"/>
    <row r="2328" s="12" customFormat="1" ht="12" customHeight="1"/>
    <row r="2329" s="12" customFormat="1" ht="12" customHeight="1"/>
    <row r="2330" s="12" customFormat="1" ht="12" customHeight="1"/>
    <row r="2331" s="12" customFormat="1" ht="12" customHeight="1"/>
    <row r="2332" s="12" customFormat="1" ht="12" customHeight="1"/>
    <row r="2333" s="12" customFormat="1" ht="12" customHeight="1"/>
    <row r="2334" s="12" customFormat="1" ht="12" customHeight="1"/>
    <row r="2335" s="12" customFormat="1" ht="12" customHeight="1"/>
    <row r="2336" s="12" customFormat="1" ht="12" customHeight="1"/>
    <row r="2337" s="12" customFormat="1" ht="12" customHeight="1"/>
    <row r="2338" s="12" customFormat="1" ht="12" customHeight="1"/>
    <row r="2339" s="12" customFormat="1" ht="12" customHeight="1"/>
    <row r="2340" s="12" customFormat="1" ht="12" customHeight="1"/>
    <row r="2341" s="12" customFormat="1" ht="12" customHeight="1"/>
    <row r="2342" s="12" customFormat="1" ht="12" customHeight="1"/>
    <row r="2343" s="12" customFormat="1" ht="12" customHeight="1"/>
    <row r="2344" s="12" customFormat="1" ht="12" customHeight="1"/>
    <row r="2345" s="12" customFormat="1" ht="12" customHeight="1"/>
    <row r="2346" s="12" customFormat="1" ht="12" customHeight="1"/>
    <row r="2347" s="12" customFormat="1" ht="12" customHeight="1"/>
    <row r="2348" s="12" customFormat="1" ht="12" customHeight="1"/>
    <row r="2349" s="12" customFormat="1" ht="12" customHeight="1"/>
    <row r="2350" s="12" customFormat="1" ht="12" customHeight="1"/>
    <row r="2351" s="12" customFormat="1" ht="12" customHeight="1"/>
    <row r="2352" s="12" customFormat="1" ht="12" customHeight="1"/>
    <row r="2353" s="12" customFormat="1" ht="12" customHeight="1"/>
    <row r="2354" s="12" customFormat="1" ht="12" customHeight="1"/>
    <row r="2355" s="12" customFormat="1" ht="12" customHeight="1"/>
    <row r="2356" s="12" customFormat="1" ht="12" customHeight="1"/>
    <row r="2357" s="12" customFormat="1" ht="12" customHeight="1"/>
    <row r="2358" s="12" customFormat="1" ht="12" customHeight="1"/>
    <row r="2359" s="12" customFormat="1" ht="12" customHeight="1"/>
    <row r="2360" s="12" customFormat="1" ht="12" customHeight="1"/>
    <row r="2361" s="12" customFormat="1" ht="12" customHeight="1"/>
    <row r="2362" s="12" customFormat="1" ht="12" customHeight="1"/>
    <row r="2363" s="12" customFormat="1" ht="12" customHeight="1"/>
    <row r="2364" s="12" customFormat="1" ht="12" customHeight="1"/>
    <row r="2365" s="12" customFormat="1" ht="12" customHeight="1"/>
    <row r="2366" s="12" customFormat="1" ht="12" customHeight="1"/>
    <row r="2367" s="12" customFormat="1" ht="12" customHeight="1"/>
    <row r="2368" s="12" customFormat="1" ht="12" customHeight="1"/>
    <row r="2369" s="12" customFormat="1" ht="12" customHeight="1"/>
    <row r="2370" s="12" customFormat="1" ht="12" customHeight="1"/>
    <row r="2371" s="12" customFormat="1" ht="12" customHeight="1"/>
    <row r="2372" s="12" customFormat="1" ht="12" customHeight="1"/>
    <row r="2373" s="12" customFormat="1" ht="12" customHeight="1"/>
    <row r="2374" s="12" customFormat="1" ht="12" customHeight="1"/>
    <row r="2375" s="12" customFormat="1" ht="12" customHeight="1"/>
    <row r="2376" s="12" customFormat="1" ht="12" customHeight="1"/>
    <row r="2377" s="12" customFormat="1" ht="12" customHeight="1"/>
    <row r="2378" s="12" customFormat="1" ht="12" customHeight="1"/>
    <row r="2379" s="12" customFormat="1" ht="12" customHeight="1"/>
    <row r="2380" s="12" customFormat="1" ht="12" customHeight="1"/>
    <row r="2381" s="12" customFormat="1" ht="12" customHeight="1"/>
    <row r="2382" s="12" customFormat="1" ht="12" customHeight="1"/>
    <row r="2383" s="12" customFormat="1" ht="12" customHeight="1"/>
    <row r="2384" s="12" customFormat="1" ht="12" customHeight="1"/>
    <row r="2385" s="12" customFormat="1" ht="12" customHeight="1"/>
    <row r="2386" s="12" customFormat="1" ht="12" customHeight="1"/>
    <row r="2387" s="12" customFormat="1" ht="12" customHeight="1"/>
    <row r="2388" s="12" customFormat="1" ht="12" customHeight="1"/>
    <row r="2389" s="12" customFormat="1" ht="12" customHeight="1"/>
    <row r="2390" s="12" customFormat="1" ht="12" customHeight="1"/>
    <row r="2391" s="12" customFormat="1" ht="12" customHeight="1"/>
    <row r="2392" s="12" customFormat="1" ht="12" customHeight="1"/>
    <row r="2393" s="12" customFormat="1" ht="12" customHeight="1"/>
    <row r="2394" s="12" customFormat="1" ht="12" customHeight="1"/>
    <row r="2395" s="12" customFormat="1" ht="12" customHeight="1"/>
    <row r="2396" s="12" customFormat="1" ht="12" customHeight="1"/>
    <row r="2397" s="12" customFormat="1" ht="12" customHeight="1"/>
    <row r="2398" s="12" customFormat="1" ht="12" customHeight="1"/>
    <row r="2399" s="12" customFormat="1" ht="12" customHeight="1"/>
    <row r="2400" s="12" customFormat="1" ht="12" customHeight="1"/>
    <row r="2401" s="12" customFormat="1" ht="12" customHeight="1"/>
    <row r="2402" s="12" customFormat="1" ht="12" customHeight="1"/>
    <row r="2403" s="12" customFormat="1" ht="12" customHeight="1"/>
    <row r="2404" s="12" customFormat="1" ht="12" customHeight="1"/>
    <row r="2405" s="12" customFormat="1" ht="12" customHeight="1"/>
    <row r="2406" s="12" customFormat="1" ht="12" customHeight="1"/>
    <row r="2407" s="12" customFormat="1" ht="12" customHeight="1"/>
    <row r="2408" s="12" customFormat="1" ht="12" customHeight="1"/>
    <row r="2409" s="12" customFormat="1" ht="12" customHeight="1"/>
    <row r="2410" s="12" customFormat="1" ht="12" customHeight="1"/>
    <row r="2411" s="12" customFormat="1" ht="12" customHeight="1"/>
    <row r="2412" s="12" customFormat="1" ht="12" customHeight="1"/>
    <row r="2413" s="12" customFormat="1" ht="12" customHeight="1"/>
    <row r="2414" s="12" customFormat="1" ht="12" customHeight="1"/>
    <row r="2415" s="12" customFormat="1" ht="12" customHeight="1"/>
    <row r="2416" s="12" customFormat="1" ht="12" customHeight="1"/>
    <row r="2417" s="12" customFormat="1" ht="12" customHeight="1"/>
    <row r="2418" s="12" customFormat="1" ht="12" customHeight="1"/>
    <row r="2419" s="12" customFormat="1" ht="12" customHeight="1"/>
    <row r="2420" s="12" customFormat="1" ht="12" customHeight="1"/>
    <row r="2421" s="12" customFormat="1" ht="12" customHeight="1"/>
    <row r="2422" s="12" customFormat="1" ht="12" customHeight="1"/>
    <row r="2423" s="12" customFormat="1" ht="12" customHeight="1"/>
    <row r="2424" s="12" customFormat="1" ht="12" customHeight="1"/>
    <row r="2425" s="12" customFormat="1" ht="12" customHeight="1"/>
    <row r="2426" s="12" customFormat="1" ht="12" customHeight="1"/>
    <row r="2427" s="12" customFormat="1" ht="12" customHeight="1"/>
    <row r="2428" s="12" customFormat="1" ht="12" customHeight="1"/>
    <row r="2429" s="12" customFormat="1" ht="12" customHeight="1"/>
    <row r="2430" s="12" customFormat="1" ht="12" customHeight="1"/>
    <row r="2431" s="12" customFormat="1" ht="12" customHeight="1"/>
    <row r="2432" s="12" customFormat="1" ht="12" customHeight="1"/>
    <row r="2433" s="12" customFormat="1" ht="12" customHeight="1"/>
    <row r="2434" s="12" customFormat="1" ht="12" customHeight="1"/>
    <row r="2435" s="12" customFormat="1" ht="12" customHeight="1"/>
    <row r="2436" s="12" customFormat="1" ht="12" customHeight="1"/>
    <row r="2437" s="12" customFormat="1" ht="12" customHeight="1"/>
    <row r="2438" s="12" customFormat="1" ht="12" customHeight="1"/>
    <row r="2439" s="12" customFormat="1" ht="12" customHeight="1"/>
    <row r="2440" s="12" customFormat="1" ht="12" customHeight="1"/>
    <row r="2441" s="12" customFormat="1" ht="12" customHeight="1"/>
    <row r="2442" s="12" customFormat="1" ht="12" customHeight="1"/>
    <row r="2443" s="12" customFormat="1" ht="12" customHeight="1"/>
    <row r="2444" s="12" customFormat="1" ht="12" customHeight="1"/>
    <row r="2445" s="12" customFormat="1" ht="12" customHeight="1"/>
    <row r="2446" s="12" customFormat="1" ht="12" customHeight="1"/>
    <row r="2447" s="12" customFormat="1" ht="12" customHeight="1"/>
    <row r="2448" s="12" customFormat="1" ht="12" customHeight="1"/>
    <row r="2449" s="12" customFormat="1" ht="12" customHeight="1"/>
    <row r="2450" s="12" customFormat="1" ht="12" customHeight="1"/>
    <row r="2451" s="12" customFormat="1" ht="12" customHeight="1"/>
    <row r="2452" s="12" customFormat="1" ht="12" customHeight="1"/>
    <row r="2453" s="12" customFormat="1" ht="12" customHeight="1"/>
    <row r="2454" s="12" customFormat="1" ht="12" customHeight="1"/>
    <row r="2455" s="12" customFormat="1" ht="12" customHeight="1"/>
    <row r="2456" s="12" customFormat="1" ht="12" customHeight="1"/>
    <row r="2457" s="12" customFormat="1" ht="12" customHeight="1"/>
    <row r="2458" s="12" customFormat="1" ht="12" customHeight="1"/>
    <row r="2459" s="12" customFormat="1" ht="12" customHeight="1"/>
    <row r="2460" s="12" customFormat="1" ht="12" customHeight="1"/>
    <row r="2461" s="12" customFormat="1" ht="12" customHeight="1"/>
    <row r="2462" s="12" customFormat="1" ht="12" customHeight="1"/>
    <row r="2463" s="12" customFormat="1" ht="12" customHeight="1"/>
    <row r="2464" s="12" customFormat="1" ht="12" customHeight="1"/>
    <row r="2465" s="12" customFormat="1" ht="12" customHeight="1"/>
    <row r="2466" s="12" customFormat="1" ht="12" customHeight="1"/>
    <row r="2467" s="12" customFormat="1" ht="12" customHeight="1"/>
    <row r="2468" s="12" customFormat="1" ht="12" customHeight="1"/>
    <row r="2469" s="12" customFormat="1" ht="12" customHeight="1"/>
    <row r="2470" s="12" customFormat="1" ht="12" customHeight="1"/>
    <row r="2471" s="12" customFormat="1" ht="12" customHeight="1"/>
    <row r="2472" s="12" customFormat="1" ht="12" customHeight="1"/>
    <row r="2473" s="12" customFormat="1" ht="12" customHeight="1"/>
    <row r="2474" s="12" customFormat="1" ht="12" customHeight="1"/>
    <row r="2475" s="12" customFormat="1" ht="12" customHeight="1"/>
    <row r="2476" s="12" customFormat="1" ht="12" customHeight="1"/>
    <row r="2477" s="12" customFormat="1" ht="12" customHeight="1"/>
    <row r="2478" s="12" customFormat="1" ht="12" customHeight="1"/>
    <row r="2479" s="12" customFormat="1" ht="12" customHeight="1"/>
    <row r="2480" s="12" customFormat="1" ht="12" customHeight="1"/>
    <row r="2481" s="12" customFormat="1" ht="12" customHeight="1"/>
    <row r="2482" s="12" customFormat="1" ht="12" customHeight="1"/>
    <row r="2483" s="12" customFormat="1" ht="12" customHeight="1"/>
    <row r="2484" s="12" customFormat="1" ht="12" customHeight="1"/>
    <row r="2485" s="12" customFormat="1" ht="12" customHeight="1"/>
    <row r="2486" s="12" customFormat="1" ht="12" customHeight="1"/>
    <row r="2487" s="12" customFormat="1" ht="12" customHeight="1"/>
    <row r="2488" s="12" customFormat="1" ht="12" customHeight="1"/>
    <row r="2489" s="12" customFormat="1" ht="12" customHeight="1"/>
    <row r="2490" s="12" customFormat="1" ht="12" customHeight="1"/>
    <row r="2491" s="12" customFormat="1" ht="12" customHeight="1"/>
    <row r="2492" s="12" customFormat="1" ht="12" customHeight="1"/>
    <row r="2493" s="12" customFormat="1" ht="12" customHeight="1"/>
    <row r="2494" s="12" customFormat="1" ht="12" customHeight="1"/>
    <row r="2495" s="12" customFormat="1" ht="12" customHeight="1"/>
    <row r="2496" s="12" customFormat="1" ht="12" customHeight="1"/>
    <row r="2497" s="12" customFormat="1" ht="12" customHeight="1"/>
    <row r="2498" s="12" customFormat="1" ht="12" customHeight="1"/>
    <row r="2499" s="12" customFormat="1" ht="12" customHeight="1"/>
    <row r="2500" s="12" customFormat="1" ht="12" customHeight="1"/>
    <row r="2501" s="12" customFormat="1" ht="12" customHeight="1"/>
  </sheetData>
  <mergeCells count="5">
    <mergeCell ref="A23:IV23"/>
    <mergeCell ref="A4:A6"/>
    <mergeCell ref="A1:IV1"/>
    <mergeCell ref="A2:IV2"/>
    <mergeCell ref="A3:IV3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31.28125" style="4" customWidth="1"/>
    <col min="2" max="2" width="19.8515625" style="4" customWidth="1"/>
    <col min="3" max="4" width="29.7109375" style="4" bestFit="1" customWidth="1"/>
    <col min="5" max="5" width="27.00390625" style="4" bestFit="1" customWidth="1"/>
    <col min="6" max="6" width="29.7109375" style="4" bestFit="1" customWidth="1"/>
    <col min="7" max="7" width="27.00390625" style="4" bestFit="1" customWidth="1"/>
    <col min="8" max="8" width="29.7109375" style="4" bestFit="1" customWidth="1"/>
    <col min="9" max="16384" width="19.8515625" style="4" customWidth="1"/>
  </cols>
  <sheetData>
    <row r="1" ht="20.25">
      <c r="A1" s="13" t="s">
        <v>30</v>
      </c>
    </row>
    <row r="2" ht="12">
      <c r="A2" s="5" t="s">
        <v>1</v>
      </c>
    </row>
    <row r="3" ht="12">
      <c r="A3" s="5"/>
    </row>
    <row r="4" spans="1:8" s="16" customFormat="1" ht="12">
      <c r="A4" s="74" t="s">
        <v>2</v>
      </c>
      <c r="B4" s="37" t="s">
        <v>3</v>
      </c>
      <c r="C4" s="37" t="s">
        <v>4</v>
      </c>
      <c r="D4" s="37" t="s">
        <v>4</v>
      </c>
      <c r="E4" s="37" t="s">
        <v>5</v>
      </c>
      <c r="F4" s="37" t="s">
        <v>5</v>
      </c>
      <c r="G4" s="37" t="s">
        <v>6</v>
      </c>
      <c r="H4" s="37" t="s">
        <v>6</v>
      </c>
    </row>
    <row r="5" spans="1:8" s="16" customFormat="1" ht="12">
      <c r="A5" s="75"/>
      <c r="B5" s="38" t="s">
        <v>7</v>
      </c>
      <c r="C5" s="38" t="s">
        <v>8</v>
      </c>
      <c r="D5" s="38" t="s">
        <v>8</v>
      </c>
      <c r="E5" s="38" t="s">
        <v>7</v>
      </c>
      <c r="F5" s="38" t="s">
        <v>7</v>
      </c>
      <c r="G5" s="38" t="s">
        <v>7</v>
      </c>
      <c r="H5" s="38" t="s">
        <v>7</v>
      </c>
    </row>
    <row r="6" spans="1:8" s="16" customFormat="1" ht="12">
      <c r="A6" s="76"/>
      <c r="B6" s="39" t="s">
        <v>9</v>
      </c>
      <c r="C6" s="39" t="s">
        <v>10</v>
      </c>
      <c r="D6" s="39" t="s">
        <v>11</v>
      </c>
      <c r="E6" s="39" t="s">
        <v>10</v>
      </c>
      <c r="F6" s="39" t="s">
        <v>11</v>
      </c>
      <c r="G6" s="39" t="s">
        <v>10</v>
      </c>
      <c r="H6" s="39" t="s">
        <v>11</v>
      </c>
    </row>
    <row r="7" spans="1:8" ht="12">
      <c r="A7" s="41" t="s">
        <v>12</v>
      </c>
      <c r="B7" s="19">
        <f>382.9*(1-0.0775)</f>
        <v>353.22524999999996</v>
      </c>
      <c r="C7" s="19">
        <f>(185.7+95.8+105.2)*(1-0.0775)</f>
        <v>356.73075</v>
      </c>
      <c r="D7" s="19">
        <f>(185.7+141.6+159.1)*(1-0.0775)</f>
        <v>448.70399999999995</v>
      </c>
      <c r="E7" s="19">
        <f>549.1*(1-0.0775)</f>
        <v>506.54475</v>
      </c>
      <c r="F7" s="19">
        <f>648.8*(1-0.0775)</f>
        <v>598.5179999999999</v>
      </c>
      <c r="G7" s="19">
        <f>549.1*(1-0.0775)</f>
        <v>506.54475</v>
      </c>
      <c r="H7" s="19">
        <f>648.8*(1-0.0775)</f>
        <v>598.5179999999999</v>
      </c>
    </row>
    <row r="8" spans="1:8" ht="12">
      <c r="A8" s="41" t="s">
        <v>13</v>
      </c>
      <c r="B8" s="19">
        <v>507</v>
      </c>
      <c r="C8" s="19">
        <v>627</v>
      </c>
      <c r="D8" s="19">
        <v>627</v>
      </c>
      <c r="E8" s="19">
        <v>627</v>
      </c>
      <c r="F8" s="19">
        <v>627</v>
      </c>
      <c r="G8" s="19">
        <v>627</v>
      </c>
      <c r="H8" s="19">
        <v>627</v>
      </c>
    </row>
    <row r="9" spans="1:8" ht="12">
      <c r="A9" s="41" t="s">
        <v>14</v>
      </c>
      <c r="B9" s="19">
        <f>113+(80/12)</f>
        <v>119.66666666666667</v>
      </c>
      <c r="C9" s="19">
        <f>141+(180/12)</f>
        <v>156</v>
      </c>
      <c r="D9" s="19">
        <f>161+(180/12)</f>
        <v>176</v>
      </c>
      <c r="E9" s="19">
        <f>184+(220/12)</f>
        <v>202.33333333333334</v>
      </c>
      <c r="F9" s="19">
        <f>211+(220/12)</f>
        <v>229.33333333333334</v>
      </c>
      <c r="G9" s="19">
        <f>184+(220/12)</f>
        <v>202.33333333333334</v>
      </c>
      <c r="H9" s="19">
        <f>211+(220/12)</f>
        <v>229.33333333333334</v>
      </c>
    </row>
    <row r="10" spans="1:8" ht="12">
      <c r="A10" s="41" t="s">
        <v>15</v>
      </c>
      <c r="B10" s="19">
        <f>250+115+50</f>
        <v>415</v>
      </c>
      <c r="C10" s="19">
        <f>250+105+59</f>
        <v>414</v>
      </c>
      <c r="D10" s="19">
        <f>250+115+55</f>
        <v>420</v>
      </c>
      <c r="E10" s="19">
        <f>250+125+50</f>
        <v>425</v>
      </c>
      <c r="F10" s="19">
        <f>250+134+50</f>
        <v>434</v>
      </c>
      <c r="G10" s="19">
        <f>250+125+50</f>
        <v>425</v>
      </c>
      <c r="H10" s="19">
        <f>250+134+50</f>
        <v>434</v>
      </c>
    </row>
    <row r="11" spans="1:8" ht="12">
      <c r="A11" s="41" t="s">
        <v>16</v>
      </c>
      <c r="B11" s="19">
        <v>0</v>
      </c>
      <c r="C11" s="19">
        <f>80*1.9*4</f>
        <v>608</v>
      </c>
      <c r="D11" s="19">
        <f>58*1.9*4</f>
        <v>440.79999999999995</v>
      </c>
      <c r="E11" s="19">
        <f>80*1.9*4</f>
        <v>608</v>
      </c>
      <c r="F11" s="19">
        <f>58*1.9*4</f>
        <v>440.79999999999995</v>
      </c>
      <c r="G11" s="19">
        <v>0</v>
      </c>
      <c r="H11" s="19">
        <v>0</v>
      </c>
    </row>
    <row r="12" spans="1:8" ht="12">
      <c r="A12" s="41" t="s">
        <v>17</v>
      </c>
      <c r="B12" s="19">
        <f>65+47+(37+33+14+39)*1.06</f>
        <v>242.38</v>
      </c>
      <c r="C12" s="19">
        <f>65+47+(37+33+39+4+6)*1.06</f>
        <v>238.14</v>
      </c>
      <c r="D12" s="19">
        <f>65+47+(37+33+39+4+6)*1.06</f>
        <v>238.14</v>
      </c>
      <c r="E12" s="19">
        <f>65+47+(37+33+14+39+4+6)*1.06</f>
        <v>252.98000000000002</v>
      </c>
      <c r="F12" s="19">
        <f>65+47+(37+33+14+39+4+6)*1.06</f>
        <v>252.98000000000002</v>
      </c>
      <c r="G12" s="19">
        <f>65+47+(37+33+14+39+4+6)*1.06</f>
        <v>252.98000000000002</v>
      </c>
      <c r="H12" s="19">
        <f>65+47+(37+33+14+39+4+6)*1.06</f>
        <v>252.98000000000002</v>
      </c>
    </row>
    <row r="13" spans="1:8" ht="12">
      <c r="A13" s="41"/>
      <c r="B13" s="20"/>
      <c r="C13" s="20"/>
      <c r="D13" s="20"/>
      <c r="E13" s="20"/>
      <c r="F13" s="20"/>
      <c r="G13" s="20"/>
      <c r="H13" s="20"/>
    </row>
    <row r="14" spans="1:8" ht="12">
      <c r="A14" s="41" t="s">
        <v>18</v>
      </c>
      <c r="B14" s="19">
        <f aca="true" t="shared" si="0" ref="B14:H14">SUM(B7:B12)</f>
        <v>1637.2719166666666</v>
      </c>
      <c r="C14" s="19">
        <f t="shared" si="0"/>
        <v>2399.8707499999996</v>
      </c>
      <c r="D14" s="19">
        <f t="shared" si="0"/>
        <v>2350.644</v>
      </c>
      <c r="E14" s="19">
        <f t="shared" si="0"/>
        <v>2621.858083333333</v>
      </c>
      <c r="F14" s="19">
        <f t="shared" si="0"/>
        <v>2582.6313333333333</v>
      </c>
      <c r="G14" s="19">
        <f t="shared" si="0"/>
        <v>2013.8580833333333</v>
      </c>
      <c r="H14" s="19">
        <f t="shared" si="0"/>
        <v>2141.8313333333335</v>
      </c>
    </row>
    <row r="15" spans="1:8" ht="12">
      <c r="A15" s="41" t="s">
        <v>19</v>
      </c>
      <c r="B15" s="19">
        <f aca="true" t="shared" si="1" ref="B15:H15">B14*12</f>
        <v>19647.263</v>
      </c>
      <c r="C15" s="19">
        <f t="shared" si="1"/>
        <v>28798.448999999993</v>
      </c>
      <c r="D15" s="19">
        <f t="shared" si="1"/>
        <v>28207.727999999996</v>
      </c>
      <c r="E15" s="19">
        <f t="shared" si="1"/>
        <v>31462.297</v>
      </c>
      <c r="F15" s="19">
        <f t="shared" si="1"/>
        <v>30991.576</v>
      </c>
      <c r="G15" s="19">
        <f t="shared" si="1"/>
        <v>24166.297</v>
      </c>
      <c r="H15" s="19">
        <f t="shared" si="1"/>
        <v>25701.976000000002</v>
      </c>
    </row>
    <row r="16" spans="1:8" ht="12">
      <c r="A16" s="41" t="s">
        <v>20</v>
      </c>
      <c r="B16" s="19">
        <v>3382.9905</v>
      </c>
      <c r="C16" s="19">
        <v>-93.3169999999999</v>
      </c>
      <c r="D16" s="19">
        <v>-420.5259999999997</v>
      </c>
      <c r="E16" s="19">
        <v>909.2460000000001</v>
      </c>
      <c r="F16" s="19">
        <v>662.2570000000001</v>
      </c>
      <c r="G16" s="19">
        <v>-2450.562</v>
      </c>
      <c r="H16" s="19">
        <v>-1920.2590000000005</v>
      </c>
    </row>
    <row r="17" spans="1:8" ht="12">
      <c r="A17" s="41" t="s">
        <v>21</v>
      </c>
      <c r="B17" s="19">
        <v>23031</v>
      </c>
      <c r="C17" s="19">
        <v>28706</v>
      </c>
      <c r="D17" s="19">
        <v>27788</v>
      </c>
      <c r="E17" s="19">
        <v>32372</v>
      </c>
      <c r="F17" s="19">
        <v>31654</v>
      </c>
      <c r="G17" s="19">
        <v>21716</v>
      </c>
      <c r="H17" s="19">
        <v>23782</v>
      </c>
    </row>
    <row r="18" spans="1:8" ht="12">
      <c r="A18" s="41" t="s">
        <v>22</v>
      </c>
      <c r="B18" s="19">
        <f aca="true" t="shared" si="2" ref="B18:H18">B17/12</f>
        <v>1919.25</v>
      </c>
      <c r="C18" s="19">
        <f t="shared" si="2"/>
        <v>2392.1666666666665</v>
      </c>
      <c r="D18" s="19">
        <f t="shared" si="2"/>
        <v>2315.6666666666665</v>
      </c>
      <c r="E18" s="19">
        <f t="shared" si="2"/>
        <v>2697.6666666666665</v>
      </c>
      <c r="F18" s="19">
        <f t="shared" si="2"/>
        <v>2637.8333333333335</v>
      </c>
      <c r="G18" s="19">
        <f t="shared" si="2"/>
        <v>1809.6666666666667</v>
      </c>
      <c r="H18" s="19">
        <f t="shared" si="2"/>
        <v>1981.8333333333333</v>
      </c>
    </row>
    <row r="19" spans="1:8" ht="12">
      <c r="A19" s="41" t="s">
        <v>23</v>
      </c>
      <c r="B19" s="21">
        <f>B17/4000</f>
        <v>5.75775</v>
      </c>
      <c r="C19" s="21">
        <f>C17/2000</f>
        <v>14.353</v>
      </c>
      <c r="D19" s="21">
        <f>D17/2000</f>
        <v>13.894</v>
      </c>
      <c r="E19" s="21">
        <f>E17/4000</f>
        <v>8.093</v>
      </c>
      <c r="F19" s="21">
        <f>F17/4000</f>
        <v>7.9135</v>
      </c>
      <c r="G19" s="21">
        <f>G17/2000</f>
        <v>10.858</v>
      </c>
      <c r="H19" s="21">
        <f>H17/2000</f>
        <v>11.891</v>
      </c>
    </row>
    <row r="20" spans="1:8" ht="12">
      <c r="A20" s="41"/>
      <c r="B20" s="20"/>
      <c r="C20" s="20"/>
      <c r="D20" s="20"/>
      <c r="E20" s="20"/>
      <c r="F20" s="20"/>
      <c r="G20" s="20"/>
      <c r="H20" s="20"/>
    </row>
    <row r="21" spans="1:8" ht="12">
      <c r="A21" s="40" t="s">
        <v>24</v>
      </c>
      <c r="B21" s="32">
        <v>12649</v>
      </c>
      <c r="C21" s="32">
        <v>15219</v>
      </c>
      <c r="D21" s="32">
        <v>15219</v>
      </c>
      <c r="E21" s="32">
        <v>19157</v>
      </c>
      <c r="F21" s="32">
        <v>19157</v>
      </c>
      <c r="G21" s="32">
        <v>19157</v>
      </c>
      <c r="H21" s="32">
        <v>19157</v>
      </c>
    </row>
    <row r="22" spans="1:8" ht="12">
      <c r="A22" s="40" t="s">
        <v>25</v>
      </c>
      <c r="B22" s="33">
        <f aca="true" t="shared" si="3" ref="B22:H22">B17/B21</f>
        <v>1.820776345956202</v>
      </c>
      <c r="C22" s="33">
        <f t="shared" si="3"/>
        <v>1.886194887968986</v>
      </c>
      <c r="D22" s="33">
        <f t="shared" si="3"/>
        <v>1.8258755502989683</v>
      </c>
      <c r="E22" s="33">
        <f t="shared" si="3"/>
        <v>1.6898261732003967</v>
      </c>
      <c r="F22" s="33">
        <f t="shared" si="3"/>
        <v>1.6523464007934436</v>
      </c>
      <c r="G22" s="33">
        <f t="shared" si="3"/>
        <v>1.1335804144699066</v>
      </c>
      <c r="H22" s="33">
        <f t="shared" si="3"/>
        <v>1.2414261105601085</v>
      </c>
    </row>
    <row r="24" ht="12">
      <c r="A24" s="4" t="s">
        <v>26</v>
      </c>
    </row>
    <row r="25" ht="12">
      <c r="A25" s="4" t="s">
        <v>27</v>
      </c>
    </row>
    <row r="28" ht="12.75">
      <c r="A28" s="65" t="s">
        <v>70</v>
      </c>
    </row>
  </sheetData>
  <mergeCells count="1">
    <mergeCell ref="A4:A6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31.57421875" style="22" customWidth="1"/>
    <col min="2" max="2" width="20.140625" style="22" bestFit="1" customWidth="1"/>
    <col min="3" max="4" width="29.7109375" style="22" bestFit="1" customWidth="1"/>
    <col min="5" max="5" width="27.00390625" style="22" bestFit="1" customWidth="1"/>
    <col min="6" max="6" width="29.7109375" style="22" bestFit="1" customWidth="1"/>
    <col min="7" max="7" width="27.00390625" style="22" bestFit="1" customWidth="1"/>
    <col min="8" max="8" width="29.7109375" style="22" bestFit="1" customWidth="1"/>
    <col min="9" max="16384" width="9.140625" style="22" customWidth="1"/>
  </cols>
  <sheetData>
    <row r="1" ht="20.25">
      <c r="A1" s="44" t="s">
        <v>31</v>
      </c>
    </row>
    <row r="2" ht="12">
      <c r="A2" s="45" t="s">
        <v>1</v>
      </c>
    </row>
    <row r="3" ht="12">
      <c r="A3" s="45"/>
    </row>
    <row r="4" spans="1:8" s="47" customFormat="1" ht="12">
      <c r="A4" s="77" t="s">
        <v>2</v>
      </c>
      <c r="B4" s="46" t="s">
        <v>3</v>
      </c>
      <c r="C4" s="46" t="s">
        <v>4</v>
      </c>
      <c r="D4" s="46" t="s">
        <v>4</v>
      </c>
      <c r="E4" s="46" t="s">
        <v>5</v>
      </c>
      <c r="F4" s="46" t="s">
        <v>5</v>
      </c>
      <c r="G4" s="46" t="s">
        <v>6</v>
      </c>
      <c r="H4" s="46" t="s">
        <v>6</v>
      </c>
    </row>
    <row r="5" spans="1:8" s="47" customFormat="1" ht="12">
      <c r="A5" s="78"/>
      <c r="B5" s="48" t="s">
        <v>7</v>
      </c>
      <c r="C5" s="48" t="s">
        <v>8</v>
      </c>
      <c r="D5" s="48" t="s">
        <v>8</v>
      </c>
      <c r="E5" s="48" t="s">
        <v>7</v>
      </c>
      <c r="F5" s="48" t="s">
        <v>7</v>
      </c>
      <c r="G5" s="48" t="s">
        <v>7</v>
      </c>
      <c r="H5" s="48" t="s">
        <v>7</v>
      </c>
    </row>
    <row r="6" spans="1:8" s="47" customFormat="1" ht="12">
      <c r="A6" s="79"/>
      <c r="B6" s="49" t="s">
        <v>9</v>
      </c>
      <c r="C6" s="49" t="s">
        <v>10</v>
      </c>
      <c r="D6" s="49" t="s">
        <v>11</v>
      </c>
      <c r="E6" s="49" t="s">
        <v>10</v>
      </c>
      <c r="F6" s="49" t="s">
        <v>11</v>
      </c>
      <c r="G6" s="49" t="s">
        <v>10</v>
      </c>
      <c r="H6" s="49" t="s">
        <v>11</v>
      </c>
    </row>
    <row r="7" spans="1:8" ht="12">
      <c r="A7" s="14" t="s">
        <v>12</v>
      </c>
      <c r="B7" s="19">
        <f>382.9*(1-0.0775)</f>
        <v>353.22524999999996</v>
      </c>
      <c r="C7" s="19">
        <f>(185.7+95.8+105.2)*(1-0.0775)</f>
        <v>356.73075</v>
      </c>
      <c r="D7" s="19">
        <f>(185.7+141.6+159.1)*(1-0.0775)</f>
        <v>448.70399999999995</v>
      </c>
      <c r="E7" s="19">
        <f>549.1*(1-0.0775)</f>
        <v>506.54475</v>
      </c>
      <c r="F7" s="19">
        <f>648.8*(1-0.0775)</f>
        <v>598.5179999999999</v>
      </c>
      <c r="G7" s="19">
        <f>549.1*(1-0.0775)</f>
        <v>506.54475</v>
      </c>
      <c r="H7" s="19">
        <f>648.8*(1-0.0775)</f>
        <v>598.5179999999999</v>
      </c>
    </row>
    <row r="8" spans="1:8" ht="12">
      <c r="A8" s="14" t="s">
        <v>13</v>
      </c>
      <c r="B8" s="19">
        <v>431</v>
      </c>
      <c r="C8" s="19">
        <v>538</v>
      </c>
      <c r="D8" s="19">
        <v>538</v>
      </c>
      <c r="E8" s="19">
        <v>538</v>
      </c>
      <c r="F8" s="19">
        <v>538</v>
      </c>
      <c r="G8" s="19">
        <v>538</v>
      </c>
      <c r="H8" s="19">
        <v>538</v>
      </c>
    </row>
    <row r="9" spans="1:8" ht="12">
      <c r="A9" s="14" t="s">
        <v>14</v>
      </c>
      <c r="B9" s="19">
        <f>103+(80/12)</f>
        <v>109.66666666666667</v>
      </c>
      <c r="C9" s="19">
        <f>127+(180/12)</f>
        <v>142</v>
      </c>
      <c r="D9" s="19">
        <f>145+(180/12)</f>
        <v>160</v>
      </c>
      <c r="E9" s="19">
        <f>167+(220/12)</f>
        <v>185.33333333333334</v>
      </c>
      <c r="F9" s="19">
        <f>190+(220/12)</f>
        <v>208.33333333333334</v>
      </c>
      <c r="G9" s="19">
        <f>167+(220/12)</f>
        <v>185.33333333333334</v>
      </c>
      <c r="H9" s="19">
        <f>190+(220/12)</f>
        <v>208.33333333333334</v>
      </c>
    </row>
    <row r="10" spans="1:8" ht="12">
      <c r="A10" s="14" t="s">
        <v>15</v>
      </c>
      <c r="B10" s="19">
        <f>250+115+42</f>
        <v>407</v>
      </c>
      <c r="C10" s="19">
        <f>250+105+49</f>
        <v>404</v>
      </c>
      <c r="D10" s="19">
        <f>250+115+45</f>
        <v>410</v>
      </c>
      <c r="E10" s="19">
        <f>250+125+42</f>
        <v>417</v>
      </c>
      <c r="F10" s="19">
        <f>250+134+41</f>
        <v>425</v>
      </c>
      <c r="G10" s="19">
        <f>250+125+42</f>
        <v>417</v>
      </c>
      <c r="H10" s="19">
        <f>250+134+41</f>
        <v>425</v>
      </c>
    </row>
    <row r="11" spans="1:8" ht="12">
      <c r="A11" s="14" t="s">
        <v>16</v>
      </c>
      <c r="B11" s="19">
        <v>0</v>
      </c>
      <c r="C11" s="19">
        <f>79*1.9*4</f>
        <v>600.4</v>
      </c>
      <c r="D11" s="19">
        <f>60*1.9*4</f>
        <v>456</v>
      </c>
      <c r="E11" s="19">
        <f>79*1.9*4</f>
        <v>600.4</v>
      </c>
      <c r="F11" s="19">
        <f>60*1.9*4</f>
        <v>456</v>
      </c>
      <c r="G11" s="19">
        <v>0</v>
      </c>
      <c r="H11" s="19">
        <v>0</v>
      </c>
    </row>
    <row r="12" spans="1:8" ht="12">
      <c r="A12" s="14" t="s">
        <v>17</v>
      </c>
      <c r="B12" s="19">
        <f>65+47+(37+33+14+39)*1.06</f>
        <v>242.38</v>
      </c>
      <c r="C12" s="19">
        <f>65+47+(37+33+39+4+6)*1.06</f>
        <v>238.14</v>
      </c>
      <c r="D12" s="19">
        <f>65+47+(37+33+39+4+6)*1.06</f>
        <v>238.14</v>
      </c>
      <c r="E12" s="19">
        <f>65+47+(37+33+14+39+4+6)*1.06</f>
        <v>252.98000000000002</v>
      </c>
      <c r="F12" s="19">
        <f>65+47+(37+33+14+39+4+6)*1.06</f>
        <v>252.98000000000002</v>
      </c>
      <c r="G12" s="19">
        <f>65+47+(37+33+14+39+4+6)*1.06</f>
        <v>252.98000000000002</v>
      </c>
      <c r="H12" s="19">
        <f>65+47+(37+33+14+39+4+6)*1.06</f>
        <v>252.98000000000002</v>
      </c>
    </row>
    <row r="13" spans="1:8" ht="12">
      <c r="A13" s="14"/>
      <c r="B13" s="20"/>
      <c r="C13" s="20"/>
      <c r="D13" s="20"/>
      <c r="E13" s="20"/>
      <c r="F13" s="20"/>
      <c r="G13" s="20"/>
      <c r="H13" s="20"/>
    </row>
    <row r="14" spans="1:8" ht="12">
      <c r="A14" s="14" t="s">
        <v>18</v>
      </c>
      <c r="B14" s="19">
        <f aca="true" t="shared" si="0" ref="B14:H14">SUM(B7:B12)</f>
        <v>1543.2719166666666</v>
      </c>
      <c r="C14" s="19">
        <f t="shared" si="0"/>
        <v>2279.2707499999997</v>
      </c>
      <c r="D14" s="19">
        <f t="shared" si="0"/>
        <v>2250.844</v>
      </c>
      <c r="E14" s="19">
        <f t="shared" si="0"/>
        <v>2500.258083333333</v>
      </c>
      <c r="F14" s="19">
        <f t="shared" si="0"/>
        <v>2478.831333333333</v>
      </c>
      <c r="G14" s="19">
        <f t="shared" si="0"/>
        <v>1899.8580833333333</v>
      </c>
      <c r="H14" s="19">
        <f t="shared" si="0"/>
        <v>2022.8313333333333</v>
      </c>
    </row>
    <row r="15" spans="1:8" ht="12">
      <c r="A15" s="14" t="s">
        <v>19</v>
      </c>
      <c r="B15" s="19">
        <f aca="true" t="shared" si="1" ref="B15:H15">B14*12</f>
        <v>18519.263</v>
      </c>
      <c r="C15" s="19">
        <f t="shared" si="1"/>
        <v>27351.248999999996</v>
      </c>
      <c r="D15" s="19">
        <f t="shared" si="1"/>
        <v>27010.128</v>
      </c>
      <c r="E15" s="19">
        <f t="shared" si="1"/>
        <v>30003.096999999998</v>
      </c>
      <c r="F15" s="19">
        <f t="shared" si="1"/>
        <v>29745.975999999995</v>
      </c>
      <c r="G15" s="19">
        <f t="shared" si="1"/>
        <v>22798.297</v>
      </c>
      <c r="H15" s="19">
        <f t="shared" si="1"/>
        <v>24273.976</v>
      </c>
    </row>
    <row r="16" spans="1:8" ht="12">
      <c r="A16" s="14" t="s">
        <v>20</v>
      </c>
      <c r="B16" s="19">
        <v>2836.718</v>
      </c>
      <c r="C16" s="19">
        <v>-1142.4005000000002</v>
      </c>
      <c r="D16" s="19">
        <v>-1325.8825000000002</v>
      </c>
      <c r="E16" s="19">
        <v>-183.45</v>
      </c>
      <c r="F16" s="19">
        <v>-318.82600000000025</v>
      </c>
      <c r="G16" s="19">
        <v>-2922.6419999999994</v>
      </c>
      <c r="H16" s="19">
        <v>-2572.239</v>
      </c>
    </row>
    <row r="17" spans="1:8" ht="12">
      <c r="A17" s="14" t="s">
        <v>21</v>
      </c>
      <c r="B17" s="19">
        <v>21356</v>
      </c>
      <c r="C17" s="19">
        <v>26209</v>
      </c>
      <c r="D17" s="19">
        <v>25685</v>
      </c>
      <c r="E17" s="19">
        <v>29820</v>
      </c>
      <c r="F17" s="19">
        <v>29428</v>
      </c>
      <c r="G17" s="19">
        <v>19876</v>
      </c>
      <c r="H17" s="19">
        <v>21702</v>
      </c>
    </row>
    <row r="18" spans="1:8" ht="12">
      <c r="A18" s="14" t="s">
        <v>22</v>
      </c>
      <c r="B18" s="19">
        <f aca="true" t="shared" si="2" ref="B18:H18">B17/12</f>
        <v>1779.6666666666667</v>
      </c>
      <c r="C18" s="19">
        <f t="shared" si="2"/>
        <v>2184.0833333333335</v>
      </c>
      <c r="D18" s="19">
        <f t="shared" si="2"/>
        <v>2140.4166666666665</v>
      </c>
      <c r="E18" s="19">
        <f t="shared" si="2"/>
        <v>2485</v>
      </c>
      <c r="F18" s="19">
        <f t="shared" si="2"/>
        <v>2452.3333333333335</v>
      </c>
      <c r="G18" s="19">
        <f t="shared" si="2"/>
        <v>1656.3333333333333</v>
      </c>
      <c r="H18" s="19">
        <f t="shared" si="2"/>
        <v>1808.5</v>
      </c>
    </row>
    <row r="19" spans="1:8" ht="12">
      <c r="A19" s="14" t="s">
        <v>23</v>
      </c>
      <c r="B19" s="21">
        <f>B17/4000</f>
        <v>5.339</v>
      </c>
      <c r="C19" s="21">
        <f>C17/2000</f>
        <v>13.1045</v>
      </c>
      <c r="D19" s="21">
        <f>D17/2000</f>
        <v>12.8425</v>
      </c>
      <c r="E19" s="21">
        <f>E17/4000</f>
        <v>7.455</v>
      </c>
      <c r="F19" s="21">
        <f>F17/4000</f>
        <v>7.357</v>
      </c>
      <c r="G19" s="21">
        <f>G17/2000</f>
        <v>9.938</v>
      </c>
      <c r="H19" s="21">
        <f>H17/2000</f>
        <v>10.851</v>
      </c>
    </row>
    <row r="20" spans="1:8" ht="12">
      <c r="A20" s="14"/>
      <c r="B20" s="20"/>
      <c r="C20" s="20"/>
      <c r="D20" s="20"/>
      <c r="E20" s="20"/>
      <c r="F20" s="20"/>
      <c r="G20" s="20"/>
      <c r="H20" s="20"/>
    </row>
    <row r="21" spans="1:8" ht="12">
      <c r="A21" s="14" t="s">
        <v>24</v>
      </c>
      <c r="B21" s="32">
        <v>12649</v>
      </c>
      <c r="C21" s="32">
        <v>15219</v>
      </c>
      <c r="D21" s="32">
        <v>15219</v>
      </c>
      <c r="E21" s="32">
        <v>19157</v>
      </c>
      <c r="F21" s="32">
        <v>19157</v>
      </c>
      <c r="G21" s="32">
        <v>19157</v>
      </c>
      <c r="H21" s="32">
        <v>19157</v>
      </c>
    </row>
    <row r="22" spans="1:8" ht="15" customHeight="1">
      <c r="A22" s="14" t="s">
        <v>25</v>
      </c>
      <c r="B22" s="33">
        <f aca="true" t="shared" si="3" ref="B22:H22">B17/B21</f>
        <v>1.688354810656969</v>
      </c>
      <c r="C22" s="33">
        <f t="shared" si="3"/>
        <v>1.7221236612129576</v>
      </c>
      <c r="D22" s="33">
        <f t="shared" si="3"/>
        <v>1.6876930153098102</v>
      </c>
      <c r="E22" s="33">
        <f t="shared" si="3"/>
        <v>1.556611160411338</v>
      </c>
      <c r="F22" s="33">
        <f t="shared" si="3"/>
        <v>1.5361486662838648</v>
      </c>
      <c r="G22" s="33">
        <f t="shared" si="3"/>
        <v>1.0375319726470742</v>
      </c>
      <c r="H22" s="33">
        <f t="shared" si="3"/>
        <v>1.1328496111082111</v>
      </c>
    </row>
    <row r="24" ht="12">
      <c r="A24" s="22" t="s">
        <v>26</v>
      </c>
    </row>
    <row r="25" ht="12">
      <c r="A25" s="22" t="s">
        <v>27</v>
      </c>
    </row>
    <row r="28" ht="12.75">
      <c r="A28" s="65" t="s">
        <v>70</v>
      </c>
    </row>
  </sheetData>
  <mergeCells count="1">
    <mergeCell ref="A4:A6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32.57421875" style="22" customWidth="1"/>
    <col min="2" max="2" width="20.140625" style="22" bestFit="1" customWidth="1"/>
    <col min="3" max="4" width="29.7109375" style="22" bestFit="1" customWidth="1"/>
    <col min="5" max="5" width="27.00390625" style="22" bestFit="1" customWidth="1"/>
    <col min="6" max="6" width="29.7109375" style="22" bestFit="1" customWidth="1"/>
    <col min="7" max="7" width="27.00390625" style="22" bestFit="1" customWidth="1"/>
    <col min="8" max="8" width="29.7109375" style="22" bestFit="1" customWidth="1"/>
    <col min="9" max="16384" width="9.140625" style="22" customWidth="1"/>
  </cols>
  <sheetData>
    <row r="1" ht="20.25">
      <c r="A1" s="44" t="s">
        <v>32</v>
      </c>
    </row>
    <row r="2" ht="12">
      <c r="A2" s="45" t="s">
        <v>1</v>
      </c>
    </row>
    <row r="3" ht="12">
      <c r="A3" s="45"/>
    </row>
    <row r="4" spans="1:8" s="47" customFormat="1" ht="12">
      <c r="A4" s="77" t="s">
        <v>2</v>
      </c>
      <c r="B4" s="46" t="s">
        <v>3</v>
      </c>
      <c r="C4" s="46" t="s">
        <v>4</v>
      </c>
      <c r="D4" s="46" t="s">
        <v>4</v>
      </c>
      <c r="E4" s="46" t="s">
        <v>5</v>
      </c>
      <c r="F4" s="46" t="s">
        <v>5</v>
      </c>
      <c r="G4" s="46" t="s">
        <v>6</v>
      </c>
      <c r="H4" s="46" t="s">
        <v>6</v>
      </c>
    </row>
    <row r="5" spans="1:8" s="47" customFormat="1" ht="12">
      <c r="A5" s="78"/>
      <c r="B5" s="48" t="s">
        <v>7</v>
      </c>
      <c r="C5" s="48" t="s">
        <v>8</v>
      </c>
      <c r="D5" s="48" t="s">
        <v>8</v>
      </c>
      <c r="E5" s="48" t="s">
        <v>7</v>
      </c>
      <c r="F5" s="48" t="s">
        <v>7</v>
      </c>
      <c r="G5" s="48" t="s">
        <v>7</v>
      </c>
      <c r="H5" s="48" t="s">
        <v>7</v>
      </c>
    </row>
    <row r="6" spans="1:8" s="47" customFormat="1" ht="12">
      <c r="A6" s="79"/>
      <c r="B6" s="49" t="s">
        <v>9</v>
      </c>
      <c r="C6" s="49" t="s">
        <v>10</v>
      </c>
      <c r="D6" s="49" t="s">
        <v>11</v>
      </c>
      <c r="E6" s="49" t="s">
        <v>10</v>
      </c>
      <c r="F6" s="49" t="s">
        <v>11</v>
      </c>
      <c r="G6" s="49" t="s">
        <v>10</v>
      </c>
      <c r="H6" s="49" t="s">
        <v>11</v>
      </c>
    </row>
    <row r="7" spans="1:8" ht="12">
      <c r="A7" s="14" t="s">
        <v>12</v>
      </c>
      <c r="B7" s="19">
        <f>382.9*(1-0.0775)</f>
        <v>353.22524999999996</v>
      </c>
      <c r="C7" s="19">
        <f>(185.7+95.8+105.2)*(1-0.0775)</f>
        <v>356.73075</v>
      </c>
      <c r="D7" s="19">
        <f>(185.7+141.6+159.1)*(1-0.0775)</f>
        <v>448.70399999999995</v>
      </c>
      <c r="E7" s="19">
        <f>549.1*(1-0.0775)</f>
        <v>506.54475</v>
      </c>
      <c r="F7" s="19">
        <f>648.8*(1-0.0775)</f>
        <v>598.5179999999999</v>
      </c>
      <c r="G7" s="19">
        <f>549.1*(1-0.0775)</f>
        <v>506.54475</v>
      </c>
      <c r="H7" s="19">
        <f>648.8*(1-0.0775)</f>
        <v>598.5179999999999</v>
      </c>
    </row>
    <row r="8" spans="1:8" ht="12">
      <c r="A8" s="14" t="s">
        <v>13</v>
      </c>
      <c r="B8" s="19">
        <v>460</v>
      </c>
      <c r="C8" s="19">
        <v>567</v>
      </c>
      <c r="D8" s="19">
        <v>567</v>
      </c>
      <c r="E8" s="19">
        <v>567</v>
      </c>
      <c r="F8" s="19">
        <v>567</v>
      </c>
      <c r="G8" s="19">
        <v>567</v>
      </c>
      <c r="H8" s="19">
        <v>567</v>
      </c>
    </row>
    <row r="9" spans="1:8" ht="12">
      <c r="A9" s="14" t="s">
        <v>14</v>
      </c>
      <c r="B9" s="19">
        <f>103+(80/12)</f>
        <v>109.66666666666667</v>
      </c>
      <c r="C9" s="19">
        <f>127+(180/12)</f>
        <v>142</v>
      </c>
      <c r="D9" s="19">
        <f>145+(180/12)</f>
        <v>160</v>
      </c>
      <c r="E9" s="19">
        <f>167+(220/12)</f>
        <v>185.33333333333334</v>
      </c>
      <c r="F9" s="19">
        <f>190+(220/12)</f>
        <v>208.33333333333334</v>
      </c>
      <c r="G9" s="19">
        <f>167+(220/12)</f>
        <v>185.33333333333334</v>
      </c>
      <c r="H9" s="19">
        <f>190+(220/12)</f>
        <v>208.33333333333334</v>
      </c>
    </row>
    <row r="10" spans="1:8" ht="12">
      <c r="A10" s="14" t="s">
        <v>15</v>
      </c>
      <c r="B10" s="19">
        <f>250+115+42</f>
        <v>407</v>
      </c>
      <c r="C10" s="19">
        <f>250+105+49</f>
        <v>404</v>
      </c>
      <c r="D10" s="19">
        <f>250+115+45</f>
        <v>410</v>
      </c>
      <c r="E10" s="19">
        <f>250+125+42</f>
        <v>417</v>
      </c>
      <c r="F10" s="19">
        <f>250+134+41</f>
        <v>425</v>
      </c>
      <c r="G10" s="19">
        <f>250+125+42</f>
        <v>417</v>
      </c>
      <c r="H10" s="19">
        <f>250+134+41</f>
        <v>425</v>
      </c>
    </row>
    <row r="11" spans="1:8" ht="12">
      <c r="A11" s="14" t="s">
        <v>16</v>
      </c>
      <c r="B11" s="19">
        <v>0</v>
      </c>
      <c r="C11" s="19">
        <f>77.5*1.9*4</f>
        <v>589</v>
      </c>
      <c r="D11" s="19">
        <f>75*1.9*4</f>
        <v>570</v>
      </c>
      <c r="E11" s="19">
        <f>77.5*1.9*4</f>
        <v>589</v>
      </c>
      <c r="F11" s="19">
        <f>75*1.9*4</f>
        <v>570</v>
      </c>
      <c r="G11" s="19">
        <v>0</v>
      </c>
      <c r="H11" s="19">
        <v>0</v>
      </c>
    </row>
    <row r="12" spans="1:8" ht="12">
      <c r="A12" s="14" t="s">
        <v>17</v>
      </c>
      <c r="B12" s="19">
        <f>65+47+(37+33+14+39)*1.06</f>
        <v>242.38</v>
      </c>
      <c r="C12" s="19">
        <f>65+47+(37+33+39+4+6)*1.06</f>
        <v>238.14</v>
      </c>
      <c r="D12" s="19">
        <f>65+47+(37+33+39+4+6)*1.06</f>
        <v>238.14</v>
      </c>
      <c r="E12" s="19">
        <f>65+47+(37+33+14+39+4+6)*1.06</f>
        <v>252.98000000000002</v>
      </c>
      <c r="F12" s="19">
        <f>65+47+(37+33+14+39+4+6)*1.06</f>
        <v>252.98000000000002</v>
      </c>
      <c r="G12" s="19">
        <f>65+47+(37+33+14+39+4+6)*1.06</f>
        <v>252.98000000000002</v>
      </c>
      <c r="H12" s="19">
        <f>65+47+(37+33+14+39+4+6)*1.06</f>
        <v>252.98000000000002</v>
      </c>
    </row>
    <row r="13" spans="1:8" ht="12">
      <c r="A13" s="14"/>
      <c r="B13" s="20"/>
      <c r="C13" s="20"/>
      <c r="D13" s="20"/>
      <c r="E13" s="20"/>
      <c r="F13" s="20"/>
      <c r="G13" s="20"/>
      <c r="H13" s="20"/>
    </row>
    <row r="14" spans="1:8" ht="12">
      <c r="A14" s="14" t="s">
        <v>18</v>
      </c>
      <c r="B14" s="19">
        <f aca="true" t="shared" si="0" ref="B14:H14">SUM(B7:B12)</f>
        <v>1572.2719166666666</v>
      </c>
      <c r="C14" s="19">
        <f t="shared" si="0"/>
        <v>2296.8707499999996</v>
      </c>
      <c r="D14" s="19">
        <f t="shared" si="0"/>
        <v>2393.8439999999996</v>
      </c>
      <c r="E14" s="19">
        <f t="shared" si="0"/>
        <v>2517.858083333333</v>
      </c>
      <c r="F14" s="19">
        <f t="shared" si="0"/>
        <v>2621.831333333333</v>
      </c>
      <c r="G14" s="19">
        <f t="shared" si="0"/>
        <v>1928.8580833333333</v>
      </c>
      <c r="H14" s="19">
        <f t="shared" si="0"/>
        <v>2051.8313333333335</v>
      </c>
    </row>
    <row r="15" spans="1:8" ht="12">
      <c r="A15" s="14" t="s">
        <v>19</v>
      </c>
      <c r="B15" s="19">
        <f aca="true" t="shared" si="1" ref="B15:H15">B14*12</f>
        <v>18867.263</v>
      </c>
      <c r="C15" s="19">
        <f t="shared" si="1"/>
        <v>27562.448999999993</v>
      </c>
      <c r="D15" s="19">
        <f t="shared" si="1"/>
        <v>28726.127999999997</v>
      </c>
      <c r="E15" s="19">
        <f t="shared" si="1"/>
        <v>30214.297</v>
      </c>
      <c r="F15" s="19">
        <f t="shared" si="1"/>
        <v>31461.975999999995</v>
      </c>
      <c r="G15" s="19">
        <f t="shared" si="1"/>
        <v>23146.297</v>
      </c>
      <c r="H15" s="19">
        <f t="shared" si="1"/>
        <v>24621.976000000002</v>
      </c>
    </row>
    <row r="16" spans="1:8" ht="12">
      <c r="A16" s="14" t="s">
        <v>20</v>
      </c>
      <c r="B16" s="19">
        <v>3093.68775</v>
      </c>
      <c r="C16" s="19">
        <v>-839.6167499999999</v>
      </c>
      <c r="D16" s="19">
        <v>-217.58525000000031</v>
      </c>
      <c r="E16" s="19">
        <v>154.2197500000002</v>
      </c>
      <c r="F16" s="19">
        <v>812.1812499999999</v>
      </c>
      <c r="G16" s="19">
        <v>-2749.2805</v>
      </c>
      <c r="H16" s="19">
        <v>-2386.99875</v>
      </c>
    </row>
    <row r="17" spans="1:8" ht="12">
      <c r="A17" s="14" t="s">
        <v>21</v>
      </c>
      <c r="B17" s="19">
        <v>21961</v>
      </c>
      <c r="C17" s="19">
        <v>26723</v>
      </c>
      <c r="D17" s="19">
        <v>28509</v>
      </c>
      <c r="E17" s="19">
        <v>30369</v>
      </c>
      <c r="F17" s="19">
        <v>32275</v>
      </c>
      <c r="G17" s="19">
        <v>20398</v>
      </c>
      <c r="H17" s="19">
        <v>22235</v>
      </c>
    </row>
    <row r="18" spans="1:8" ht="12">
      <c r="A18" s="14" t="s">
        <v>22</v>
      </c>
      <c r="B18" s="19">
        <f aca="true" t="shared" si="2" ref="B18:H18">B17/12</f>
        <v>1830.0833333333333</v>
      </c>
      <c r="C18" s="19">
        <f t="shared" si="2"/>
        <v>2226.9166666666665</v>
      </c>
      <c r="D18" s="19">
        <f t="shared" si="2"/>
        <v>2375.75</v>
      </c>
      <c r="E18" s="19">
        <f t="shared" si="2"/>
        <v>2530.75</v>
      </c>
      <c r="F18" s="19">
        <f t="shared" si="2"/>
        <v>2689.5833333333335</v>
      </c>
      <c r="G18" s="19">
        <f t="shared" si="2"/>
        <v>1699.8333333333333</v>
      </c>
      <c r="H18" s="19">
        <f t="shared" si="2"/>
        <v>1852.9166666666667</v>
      </c>
    </row>
    <row r="19" spans="1:8" ht="12">
      <c r="A19" s="14" t="s">
        <v>23</v>
      </c>
      <c r="B19" s="21">
        <f>B17/4000</f>
        <v>5.49025</v>
      </c>
      <c r="C19" s="21">
        <f>C17/2000</f>
        <v>13.3615</v>
      </c>
      <c r="D19" s="21">
        <f>D17/2000</f>
        <v>14.2545</v>
      </c>
      <c r="E19" s="21">
        <f>E17/4000</f>
        <v>7.59225</v>
      </c>
      <c r="F19" s="21">
        <f>F17/4000</f>
        <v>8.06875</v>
      </c>
      <c r="G19" s="21">
        <f>G17/2000</f>
        <v>10.199</v>
      </c>
      <c r="H19" s="21">
        <f>H17/2000</f>
        <v>11.1175</v>
      </c>
    </row>
    <row r="20" spans="1:8" ht="12">
      <c r="A20" s="14"/>
      <c r="B20" s="20"/>
      <c r="C20" s="20"/>
      <c r="D20" s="20"/>
      <c r="E20" s="20"/>
      <c r="F20" s="20"/>
      <c r="G20" s="20"/>
      <c r="H20" s="20"/>
    </row>
    <row r="21" spans="1:8" ht="12">
      <c r="A21" s="14" t="s">
        <v>24</v>
      </c>
      <c r="B21" s="32">
        <v>12649</v>
      </c>
      <c r="C21" s="32">
        <v>15219</v>
      </c>
      <c r="D21" s="32">
        <v>15219</v>
      </c>
      <c r="E21" s="32">
        <v>19157</v>
      </c>
      <c r="F21" s="32">
        <v>19157</v>
      </c>
      <c r="G21" s="32">
        <v>19157</v>
      </c>
      <c r="H21" s="32">
        <v>19157</v>
      </c>
    </row>
    <row r="22" spans="1:8" ht="12">
      <c r="A22" s="14" t="s">
        <v>25</v>
      </c>
      <c r="B22" s="33">
        <f aca="true" t="shared" si="3" ref="B22:H22">B17/B21</f>
        <v>1.7361846786307218</v>
      </c>
      <c r="C22" s="33">
        <f t="shared" si="3"/>
        <v>1.7558972337210066</v>
      </c>
      <c r="D22" s="33">
        <f t="shared" si="3"/>
        <v>1.873250542085551</v>
      </c>
      <c r="E22" s="33">
        <f t="shared" si="3"/>
        <v>1.5852690922378243</v>
      </c>
      <c r="F22" s="33">
        <f t="shared" si="3"/>
        <v>1.6847627499086495</v>
      </c>
      <c r="G22" s="33">
        <f t="shared" si="3"/>
        <v>1.0647804979902908</v>
      </c>
      <c r="H22" s="33">
        <f t="shared" si="3"/>
        <v>1.1606723390927598</v>
      </c>
    </row>
    <row r="24" ht="12">
      <c r="A24" s="22" t="s">
        <v>26</v>
      </c>
    </row>
    <row r="25" ht="12">
      <c r="A25" s="22" t="s">
        <v>27</v>
      </c>
    </row>
    <row r="28" ht="12.75">
      <c r="A28" s="65" t="s">
        <v>70</v>
      </c>
    </row>
  </sheetData>
  <mergeCells count="1">
    <mergeCell ref="A4:A6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31.421875" style="4" customWidth="1"/>
    <col min="2" max="2" width="20.140625" style="4" bestFit="1" customWidth="1"/>
    <col min="3" max="4" width="29.7109375" style="4" bestFit="1" customWidth="1"/>
    <col min="5" max="5" width="27.00390625" style="4" bestFit="1" customWidth="1"/>
    <col min="6" max="6" width="29.7109375" style="4" bestFit="1" customWidth="1"/>
    <col min="7" max="7" width="27.00390625" style="4" bestFit="1" customWidth="1"/>
    <col min="8" max="8" width="29.7109375" style="4" bestFit="1" customWidth="1"/>
    <col min="9" max="16384" width="25.7109375" style="4" customWidth="1"/>
  </cols>
  <sheetData>
    <row r="1" ht="20.25">
      <c r="A1" s="13" t="s">
        <v>33</v>
      </c>
    </row>
    <row r="2" ht="12">
      <c r="A2" s="5" t="s">
        <v>1</v>
      </c>
    </row>
    <row r="3" ht="12">
      <c r="A3" s="5"/>
    </row>
    <row r="4" spans="1:8" s="16" customFormat="1" ht="12">
      <c r="A4" s="77" t="s">
        <v>2</v>
      </c>
      <c r="B4" s="46" t="s">
        <v>3</v>
      </c>
      <c r="C4" s="46" t="s">
        <v>4</v>
      </c>
      <c r="D4" s="46" t="s">
        <v>4</v>
      </c>
      <c r="E4" s="46" t="s">
        <v>5</v>
      </c>
      <c r="F4" s="46" t="s">
        <v>5</v>
      </c>
      <c r="G4" s="46" t="s">
        <v>6</v>
      </c>
      <c r="H4" s="46" t="s">
        <v>6</v>
      </c>
    </row>
    <row r="5" spans="1:8" s="16" customFormat="1" ht="12">
      <c r="A5" s="78"/>
      <c r="B5" s="48" t="s">
        <v>7</v>
      </c>
      <c r="C5" s="48" t="s">
        <v>8</v>
      </c>
      <c r="D5" s="48" t="s">
        <v>8</v>
      </c>
      <c r="E5" s="48" t="s">
        <v>7</v>
      </c>
      <c r="F5" s="48" t="s">
        <v>7</v>
      </c>
      <c r="G5" s="48" t="s">
        <v>7</v>
      </c>
      <c r="H5" s="48" t="s">
        <v>7</v>
      </c>
    </row>
    <row r="6" spans="1:8" s="16" customFormat="1" ht="12">
      <c r="A6" s="79"/>
      <c r="B6" s="49" t="s">
        <v>9</v>
      </c>
      <c r="C6" s="49" t="s">
        <v>10</v>
      </c>
      <c r="D6" s="49" t="s">
        <v>11</v>
      </c>
      <c r="E6" s="49" t="s">
        <v>10</v>
      </c>
      <c r="F6" s="49" t="s">
        <v>11</v>
      </c>
      <c r="G6" s="49" t="s">
        <v>10</v>
      </c>
      <c r="H6" s="49" t="s">
        <v>11</v>
      </c>
    </row>
    <row r="7" spans="1:8" ht="12">
      <c r="A7" s="51" t="s">
        <v>12</v>
      </c>
      <c r="B7" s="19">
        <f>382.9*(1-0.0775)</f>
        <v>353.22524999999996</v>
      </c>
      <c r="C7" s="19">
        <f>(185.7+95.8+105.2)*(1-0.0775)</f>
        <v>356.73075</v>
      </c>
      <c r="D7" s="19">
        <f>(185.7+141.6+159.1)*(1-0.0775)</f>
        <v>448.70399999999995</v>
      </c>
      <c r="E7" s="19">
        <f>549.1*(1-0.0775)</f>
        <v>506.54475</v>
      </c>
      <c r="F7" s="19">
        <f>648.8*(1-0.0775)</f>
        <v>598.5179999999999</v>
      </c>
      <c r="G7" s="19">
        <f>549.1*(1-0.0775)</f>
        <v>506.54475</v>
      </c>
      <c r="H7" s="19">
        <f>648.8*(1-0.0775)</f>
        <v>598.5179999999999</v>
      </c>
    </row>
    <row r="8" spans="1:8" ht="12">
      <c r="A8" s="51" t="s">
        <v>13</v>
      </c>
      <c r="B8" s="19">
        <v>586</v>
      </c>
      <c r="C8" s="19">
        <v>716</v>
      </c>
      <c r="D8" s="19">
        <v>716</v>
      </c>
      <c r="E8" s="19">
        <v>716</v>
      </c>
      <c r="F8" s="19">
        <v>716</v>
      </c>
      <c r="G8" s="19">
        <v>716</v>
      </c>
      <c r="H8" s="19">
        <v>716</v>
      </c>
    </row>
    <row r="9" spans="1:8" ht="12">
      <c r="A9" s="51" t="s">
        <v>14</v>
      </c>
      <c r="B9" s="19">
        <f>135+(80/12)</f>
        <v>141.66666666666666</v>
      </c>
      <c r="C9" s="19">
        <f>167+(180/12)</f>
        <v>182</v>
      </c>
      <c r="D9" s="19">
        <f>191+(180/12)</f>
        <v>206</v>
      </c>
      <c r="E9" s="19">
        <f>219+(220/12)</f>
        <v>237.33333333333334</v>
      </c>
      <c r="F9" s="19">
        <f>250+(220/12)</f>
        <v>268.3333333333333</v>
      </c>
      <c r="G9" s="19">
        <f>219+(220/12)</f>
        <v>237.33333333333334</v>
      </c>
      <c r="H9" s="19">
        <f>250+(220/12)</f>
        <v>268.3333333333333</v>
      </c>
    </row>
    <row r="10" spans="1:8" ht="12">
      <c r="A10" s="51" t="s">
        <v>15</v>
      </c>
      <c r="B10" s="19">
        <f>250+115+75</f>
        <v>440</v>
      </c>
      <c r="C10" s="19">
        <f>250+105+91</f>
        <v>446</v>
      </c>
      <c r="D10" s="19">
        <f>250+115+83</f>
        <v>448</v>
      </c>
      <c r="E10" s="19">
        <f>250+125+75</f>
        <v>450</v>
      </c>
      <c r="F10" s="19">
        <f>250+134+74</f>
        <v>458</v>
      </c>
      <c r="G10" s="19">
        <f>250+125+75</f>
        <v>450</v>
      </c>
      <c r="H10" s="19">
        <f>250+134+74</f>
        <v>458</v>
      </c>
    </row>
    <row r="11" spans="1:8" ht="12">
      <c r="A11" s="51" t="s">
        <v>16</v>
      </c>
      <c r="B11" s="19">
        <v>0</v>
      </c>
      <c r="C11" s="19">
        <f>102.5*1.9*4</f>
        <v>779</v>
      </c>
      <c r="D11" s="19">
        <f>87.5*1.9*4</f>
        <v>665</v>
      </c>
      <c r="E11" s="19">
        <f>102.5*1.9*4</f>
        <v>779</v>
      </c>
      <c r="F11" s="19">
        <f>87.5*1.9*4</f>
        <v>665</v>
      </c>
      <c r="G11" s="19">
        <v>0</v>
      </c>
      <c r="H11" s="19">
        <v>0</v>
      </c>
    </row>
    <row r="12" spans="1:8" ht="12">
      <c r="A12" s="51" t="s">
        <v>17</v>
      </c>
      <c r="B12" s="19">
        <f>65+47+(37+33+14+39)*1.06</f>
        <v>242.38</v>
      </c>
      <c r="C12" s="19">
        <f>65+47+(37+33+39+4+6)*1.06</f>
        <v>238.14</v>
      </c>
      <c r="D12" s="19">
        <f>65+47+(37+33+39+4+6)*1.06</f>
        <v>238.14</v>
      </c>
      <c r="E12" s="19">
        <f>65+47+(37+33+14+39+4+6)*1.06</f>
        <v>252.98000000000002</v>
      </c>
      <c r="F12" s="19">
        <f>65+47+(37+33+14+39+4+6)*1.06</f>
        <v>252.98000000000002</v>
      </c>
      <c r="G12" s="19">
        <f>65+47+(37+33+14+39+4+6)*1.06</f>
        <v>252.98000000000002</v>
      </c>
      <c r="H12" s="19">
        <f>65+47+(37+33+14+39+4+6)*1.06</f>
        <v>252.98000000000002</v>
      </c>
    </row>
    <row r="13" spans="1:8" ht="12">
      <c r="A13" s="50"/>
      <c r="B13" s="7"/>
      <c r="C13" s="7"/>
      <c r="D13" s="7"/>
      <c r="E13" s="7"/>
      <c r="F13" s="7"/>
      <c r="G13" s="7"/>
      <c r="H13" s="7"/>
    </row>
    <row r="14" spans="1:8" ht="12">
      <c r="A14" s="50" t="s">
        <v>18</v>
      </c>
      <c r="B14" s="6">
        <f aca="true" t="shared" si="0" ref="B14:H14">SUM(B7:B12)</f>
        <v>1763.2719166666666</v>
      </c>
      <c r="C14" s="6">
        <f t="shared" si="0"/>
        <v>2717.8707499999996</v>
      </c>
      <c r="D14" s="6">
        <f t="shared" si="0"/>
        <v>2721.8439999999996</v>
      </c>
      <c r="E14" s="6">
        <f t="shared" si="0"/>
        <v>2941.858083333333</v>
      </c>
      <c r="F14" s="6">
        <f t="shared" si="0"/>
        <v>2958.831333333333</v>
      </c>
      <c r="G14" s="6">
        <f t="shared" si="0"/>
        <v>2162.8580833333335</v>
      </c>
      <c r="H14" s="6">
        <f t="shared" si="0"/>
        <v>2293.8313333333335</v>
      </c>
    </row>
    <row r="15" spans="1:8" ht="12">
      <c r="A15" s="50" t="s">
        <v>19</v>
      </c>
      <c r="B15" s="6">
        <f aca="true" t="shared" si="1" ref="B15:H15">B14*12</f>
        <v>21159.263</v>
      </c>
      <c r="C15" s="6">
        <f t="shared" si="1"/>
        <v>32614.448999999993</v>
      </c>
      <c r="D15" s="6">
        <f t="shared" si="1"/>
        <v>32662.127999999997</v>
      </c>
      <c r="E15" s="6">
        <f t="shared" si="1"/>
        <v>35302.297</v>
      </c>
      <c r="F15" s="6">
        <f t="shared" si="1"/>
        <v>35505.975999999995</v>
      </c>
      <c r="G15" s="6">
        <f t="shared" si="1"/>
        <v>25954.297000000002</v>
      </c>
      <c r="H15" s="6">
        <f t="shared" si="1"/>
        <v>27525.976000000002</v>
      </c>
    </row>
    <row r="16" spans="1:8" ht="12">
      <c r="A16" s="50" t="s">
        <v>20</v>
      </c>
      <c r="B16" s="6">
        <v>3465.71875</v>
      </c>
      <c r="C16" s="6">
        <v>2465.065</v>
      </c>
      <c r="D16" s="6">
        <v>2481.817</v>
      </c>
      <c r="E16" s="6">
        <v>2025.9907499999997</v>
      </c>
      <c r="F16" s="6">
        <v>2097.972</v>
      </c>
      <c r="G16" s="6">
        <v>-2073.4132499999996</v>
      </c>
      <c r="H16" s="6">
        <v>-859.1377500000002</v>
      </c>
    </row>
    <row r="17" spans="1:8" ht="12">
      <c r="A17" s="50" t="s">
        <v>21</v>
      </c>
      <c r="B17" s="6">
        <v>24625</v>
      </c>
      <c r="C17" s="6">
        <v>35080</v>
      </c>
      <c r="D17" s="6">
        <v>35144</v>
      </c>
      <c r="E17" s="6">
        <v>37329</v>
      </c>
      <c r="F17" s="6">
        <v>37604</v>
      </c>
      <c r="G17" s="6">
        <v>23881</v>
      </c>
      <c r="H17" s="6">
        <v>26667</v>
      </c>
    </row>
    <row r="18" spans="1:8" ht="12">
      <c r="A18" s="50" t="s">
        <v>22</v>
      </c>
      <c r="B18" s="6">
        <f aca="true" t="shared" si="2" ref="B18:H18">B17/12</f>
        <v>2052.0833333333335</v>
      </c>
      <c r="C18" s="6">
        <f t="shared" si="2"/>
        <v>2923.3333333333335</v>
      </c>
      <c r="D18" s="6">
        <f t="shared" si="2"/>
        <v>2928.6666666666665</v>
      </c>
      <c r="E18" s="6">
        <f t="shared" si="2"/>
        <v>3110.75</v>
      </c>
      <c r="F18" s="6">
        <f t="shared" si="2"/>
        <v>3133.6666666666665</v>
      </c>
      <c r="G18" s="6">
        <f t="shared" si="2"/>
        <v>1990.0833333333333</v>
      </c>
      <c r="H18" s="6">
        <f t="shared" si="2"/>
        <v>2222.25</v>
      </c>
    </row>
    <row r="19" spans="1:8" ht="12">
      <c r="A19" s="50" t="s">
        <v>23</v>
      </c>
      <c r="B19" s="8">
        <f>B17/4000</f>
        <v>6.15625</v>
      </c>
      <c r="C19" s="8">
        <f>C17/2000</f>
        <v>17.54</v>
      </c>
      <c r="D19" s="8">
        <f>D17/2000</f>
        <v>17.572</v>
      </c>
      <c r="E19" s="8">
        <f>E17/4000</f>
        <v>9.33225</v>
      </c>
      <c r="F19" s="8">
        <f>F17/4000</f>
        <v>9.401</v>
      </c>
      <c r="G19" s="8">
        <f>G17/2000</f>
        <v>11.9405</v>
      </c>
      <c r="H19" s="8">
        <f>H17/2000</f>
        <v>13.3335</v>
      </c>
    </row>
    <row r="20" spans="1:8" ht="12">
      <c r="A20" s="50"/>
      <c r="B20" s="6"/>
      <c r="C20" s="6"/>
      <c r="D20" s="6"/>
      <c r="E20" s="6"/>
      <c r="F20" s="6"/>
      <c r="G20" s="6"/>
      <c r="H20" s="6"/>
    </row>
    <row r="21" spans="1:8" ht="12">
      <c r="A21" s="50" t="s">
        <v>24</v>
      </c>
      <c r="B21" s="30">
        <v>12649</v>
      </c>
      <c r="C21" s="30">
        <v>15219</v>
      </c>
      <c r="D21" s="30">
        <v>15219</v>
      </c>
      <c r="E21" s="30">
        <v>19157</v>
      </c>
      <c r="F21" s="30">
        <v>19157</v>
      </c>
      <c r="G21" s="30">
        <v>19157</v>
      </c>
      <c r="H21" s="30">
        <v>19157</v>
      </c>
    </row>
    <row r="22" spans="1:8" ht="12">
      <c r="A22" s="50" t="s">
        <v>25</v>
      </c>
      <c r="B22" s="31">
        <f aca="true" t="shared" si="3" ref="B22:H22">B17/B21</f>
        <v>1.9467942129812634</v>
      </c>
      <c r="C22" s="31">
        <f t="shared" si="3"/>
        <v>2.3050134700045994</v>
      </c>
      <c r="D22" s="31">
        <f t="shared" si="3"/>
        <v>2.309218739733228</v>
      </c>
      <c r="E22" s="31">
        <f t="shared" si="3"/>
        <v>1.948582763480712</v>
      </c>
      <c r="F22" s="31">
        <f t="shared" si="3"/>
        <v>1.9629378295140159</v>
      </c>
      <c r="G22" s="31">
        <f t="shared" si="3"/>
        <v>1.246593934332098</v>
      </c>
      <c r="H22" s="31">
        <f t="shared" si="3"/>
        <v>1.3920238033094952</v>
      </c>
    </row>
    <row r="24" ht="12">
      <c r="A24" s="4" t="s">
        <v>26</v>
      </c>
    </row>
    <row r="25" ht="12">
      <c r="A25" s="4" t="s">
        <v>27</v>
      </c>
    </row>
    <row r="28" ht="12.75">
      <c r="A28" s="65" t="s">
        <v>70</v>
      </c>
    </row>
  </sheetData>
  <mergeCells count="1">
    <mergeCell ref="A4:A6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31.140625" style="4" customWidth="1"/>
    <col min="2" max="2" width="20.140625" style="4" bestFit="1" customWidth="1"/>
    <col min="3" max="4" width="29.7109375" style="4" bestFit="1" customWidth="1"/>
    <col min="5" max="5" width="27.00390625" style="4" bestFit="1" customWidth="1"/>
    <col min="6" max="6" width="29.7109375" style="4" bestFit="1" customWidth="1"/>
    <col min="7" max="7" width="27.00390625" style="4" bestFit="1" customWidth="1"/>
    <col min="8" max="8" width="29.7109375" style="4" bestFit="1" customWidth="1"/>
    <col min="9" max="16384" width="9.140625" style="4" customWidth="1"/>
  </cols>
  <sheetData>
    <row r="1" ht="20.25">
      <c r="A1" s="13" t="s">
        <v>34</v>
      </c>
    </row>
    <row r="2" ht="12">
      <c r="A2" s="5" t="s">
        <v>1</v>
      </c>
    </row>
    <row r="3" ht="12">
      <c r="A3" s="5"/>
    </row>
    <row r="4" spans="1:8" s="16" customFormat="1" ht="12">
      <c r="A4" s="77" t="s">
        <v>2</v>
      </c>
      <c r="B4" s="46" t="s">
        <v>3</v>
      </c>
      <c r="C4" s="46" t="s">
        <v>4</v>
      </c>
      <c r="D4" s="46" t="s">
        <v>4</v>
      </c>
      <c r="E4" s="46" t="s">
        <v>5</v>
      </c>
      <c r="F4" s="46" t="s">
        <v>5</v>
      </c>
      <c r="G4" s="46" t="s">
        <v>6</v>
      </c>
      <c r="H4" s="46" t="s">
        <v>6</v>
      </c>
    </row>
    <row r="5" spans="1:8" s="16" customFormat="1" ht="12">
      <c r="A5" s="78"/>
      <c r="B5" s="48" t="s">
        <v>7</v>
      </c>
      <c r="C5" s="48" t="s">
        <v>8</v>
      </c>
      <c r="D5" s="48" t="s">
        <v>8</v>
      </c>
      <c r="E5" s="48" t="s">
        <v>7</v>
      </c>
      <c r="F5" s="48" t="s">
        <v>7</v>
      </c>
      <c r="G5" s="48" t="s">
        <v>7</v>
      </c>
      <c r="H5" s="48" t="s">
        <v>7</v>
      </c>
    </row>
    <row r="6" spans="1:8" s="16" customFormat="1" ht="12">
      <c r="A6" s="79"/>
      <c r="B6" s="49" t="s">
        <v>9</v>
      </c>
      <c r="C6" s="49" t="s">
        <v>10</v>
      </c>
      <c r="D6" s="49" t="s">
        <v>11</v>
      </c>
      <c r="E6" s="49" t="s">
        <v>10</v>
      </c>
      <c r="F6" s="49" t="s">
        <v>11</v>
      </c>
      <c r="G6" s="49" t="s">
        <v>10</v>
      </c>
      <c r="H6" s="49" t="s">
        <v>11</v>
      </c>
    </row>
    <row r="7" spans="1:8" ht="12">
      <c r="A7" s="51" t="s">
        <v>12</v>
      </c>
      <c r="B7" s="52">
        <f>382.9*(1-0.0775)</f>
        <v>353.22524999999996</v>
      </c>
      <c r="C7" s="52">
        <f>(185.7+95.8+105.2)*(1-0.0775)</f>
        <v>356.73075</v>
      </c>
      <c r="D7" s="52">
        <f>(185.7+141.6+159.1)*(1-0.0775)</f>
        <v>448.70399999999995</v>
      </c>
      <c r="E7" s="52">
        <f>549.1*(1-0.0775)</f>
        <v>506.54475</v>
      </c>
      <c r="F7" s="52">
        <f>648.8*(1-0.0775)</f>
        <v>598.5179999999999</v>
      </c>
      <c r="G7" s="52">
        <f>549.1*(1-0.0775)</f>
        <v>506.54475</v>
      </c>
      <c r="H7" s="52">
        <f>648.8*(1-0.0775)</f>
        <v>598.5179999999999</v>
      </c>
    </row>
    <row r="8" spans="1:8" ht="12">
      <c r="A8" s="51" t="s">
        <v>13</v>
      </c>
      <c r="B8" s="52">
        <v>549</v>
      </c>
      <c r="C8" s="52">
        <v>655</v>
      </c>
      <c r="D8" s="52">
        <v>655</v>
      </c>
      <c r="E8" s="52">
        <v>655</v>
      </c>
      <c r="F8" s="52">
        <v>655</v>
      </c>
      <c r="G8" s="52">
        <v>655</v>
      </c>
      <c r="H8" s="52">
        <v>655</v>
      </c>
    </row>
    <row r="9" spans="1:8" ht="12">
      <c r="A9" s="51" t="s">
        <v>14</v>
      </c>
      <c r="B9" s="52">
        <f>113+(80/12)</f>
        <v>119.66666666666667</v>
      </c>
      <c r="C9" s="52">
        <f>141+(180/12)</f>
        <v>156</v>
      </c>
      <c r="D9" s="52">
        <f>161+(180/12)</f>
        <v>176</v>
      </c>
      <c r="E9" s="52">
        <f>184+(220/12)</f>
        <v>202.33333333333334</v>
      </c>
      <c r="F9" s="52">
        <f>211+(220/12)</f>
        <v>229.33333333333334</v>
      </c>
      <c r="G9" s="52">
        <f>184+(220/12)</f>
        <v>202.33333333333334</v>
      </c>
      <c r="H9" s="52">
        <f>211+(220/12)</f>
        <v>229.33333333333334</v>
      </c>
    </row>
    <row r="10" spans="1:8" ht="12">
      <c r="A10" s="51" t="s">
        <v>15</v>
      </c>
      <c r="B10" s="52">
        <f>250+115+50</f>
        <v>415</v>
      </c>
      <c r="C10" s="52">
        <f>250+105+59</f>
        <v>414</v>
      </c>
      <c r="D10" s="52">
        <f>250+115+55</f>
        <v>420</v>
      </c>
      <c r="E10" s="52">
        <f>250+125+50</f>
        <v>425</v>
      </c>
      <c r="F10" s="52">
        <f>250+134+50</f>
        <v>434</v>
      </c>
      <c r="G10" s="52">
        <f>250+125+50</f>
        <v>425</v>
      </c>
      <c r="H10" s="52">
        <f>250+134+50</f>
        <v>434</v>
      </c>
    </row>
    <row r="11" spans="1:8" ht="12">
      <c r="A11" s="51" t="s">
        <v>16</v>
      </c>
      <c r="B11" s="52">
        <v>0</v>
      </c>
      <c r="C11" s="52">
        <f>99*1.9*4</f>
        <v>752.4</v>
      </c>
      <c r="D11" s="52">
        <f>75*1.9*4</f>
        <v>570</v>
      </c>
      <c r="E11" s="52">
        <f>99*1.9*4</f>
        <v>752.4</v>
      </c>
      <c r="F11" s="52">
        <f>75*1.9*4</f>
        <v>570</v>
      </c>
      <c r="G11" s="52">
        <v>0</v>
      </c>
      <c r="H11" s="52">
        <v>0</v>
      </c>
    </row>
    <row r="12" spans="1:8" ht="12">
      <c r="A12" s="51" t="s">
        <v>17</v>
      </c>
      <c r="B12" s="52">
        <f>65+47+(37+33+14+39)*1.06</f>
        <v>242.38</v>
      </c>
      <c r="C12" s="52">
        <f>65+47+(37+33+39+4+6)*1.06</f>
        <v>238.14</v>
      </c>
      <c r="D12" s="52">
        <f>65+47+(37+33+39+4+6)*1.06</f>
        <v>238.14</v>
      </c>
      <c r="E12" s="52">
        <f>65+47+(37+33+14+39+4+6)*1.06</f>
        <v>252.98000000000002</v>
      </c>
      <c r="F12" s="52">
        <f>65+47+(37+33+14+39+4+6)*1.06</f>
        <v>252.98000000000002</v>
      </c>
      <c r="G12" s="52">
        <f>65+47+(37+33+14+39+4+6)*1.06</f>
        <v>252.98000000000002</v>
      </c>
      <c r="H12" s="52">
        <f>65+47+(37+33+14+39+4+6)*1.06</f>
        <v>252.98000000000002</v>
      </c>
    </row>
    <row r="13" spans="1:8" ht="12">
      <c r="A13" s="50"/>
      <c r="B13" s="10"/>
      <c r="C13" s="10"/>
      <c r="D13" s="10"/>
      <c r="E13" s="10"/>
      <c r="F13" s="10"/>
      <c r="G13" s="10"/>
      <c r="H13" s="10"/>
    </row>
    <row r="14" spans="1:8" ht="12">
      <c r="A14" s="50" t="s">
        <v>18</v>
      </c>
      <c r="B14" s="9">
        <f aca="true" t="shared" si="0" ref="B14:H14">SUM(B7:B12)</f>
        <v>1679.2719166666666</v>
      </c>
      <c r="C14" s="9">
        <f t="shared" si="0"/>
        <v>2572.2707499999997</v>
      </c>
      <c r="D14" s="9">
        <f t="shared" si="0"/>
        <v>2507.8439999999996</v>
      </c>
      <c r="E14" s="9">
        <f t="shared" si="0"/>
        <v>2794.258083333333</v>
      </c>
      <c r="F14" s="9">
        <f t="shared" si="0"/>
        <v>2739.831333333333</v>
      </c>
      <c r="G14" s="9">
        <f t="shared" si="0"/>
        <v>2041.8580833333333</v>
      </c>
      <c r="H14" s="9">
        <f t="shared" si="0"/>
        <v>2169.8313333333335</v>
      </c>
    </row>
    <row r="15" spans="1:8" ht="12">
      <c r="A15" s="50" t="s">
        <v>19</v>
      </c>
      <c r="B15" s="9">
        <f aca="true" t="shared" si="1" ref="B15:H15">B14*12</f>
        <v>20151.263</v>
      </c>
      <c r="C15" s="9">
        <f t="shared" si="1"/>
        <v>30867.248999999996</v>
      </c>
      <c r="D15" s="9">
        <f t="shared" si="1"/>
        <v>30094.127999999997</v>
      </c>
      <c r="E15" s="9">
        <f t="shared" si="1"/>
        <v>33531.096999999994</v>
      </c>
      <c r="F15" s="9">
        <f t="shared" si="1"/>
        <v>32877.975999999995</v>
      </c>
      <c r="G15" s="9">
        <f t="shared" si="1"/>
        <v>24502.297</v>
      </c>
      <c r="H15" s="9">
        <f t="shared" si="1"/>
        <v>26037.976000000002</v>
      </c>
    </row>
    <row r="16" spans="1:8" ht="12">
      <c r="A16" s="50" t="s">
        <v>20</v>
      </c>
      <c r="B16" s="9">
        <v>3437.23575</v>
      </c>
      <c r="C16" s="9">
        <v>1313.2017500000004</v>
      </c>
      <c r="D16" s="9">
        <v>469.46199999999976</v>
      </c>
      <c r="E16" s="9">
        <v>1873.26375</v>
      </c>
      <c r="F16" s="9">
        <v>1527.9755</v>
      </c>
      <c r="G16" s="9">
        <v>-2428.07375</v>
      </c>
      <c r="H16" s="9">
        <v>-1736.6065</v>
      </c>
    </row>
    <row r="17" spans="1:8" ht="12">
      <c r="A17" s="50" t="s">
        <v>21</v>
      </c>
      <c r="B17" s="9">
        <v>23589</v>
      </c>
      <c r="C17" s="9">
        <v>32181</v>
      </c>
      <c r="D17" s="9">
        <v>30564</v>
      </c>
      <c r="E17" s="9">
        <v>35405</v>
      </c>
      <c r="F17" s="9">
        <v>34406</v>
      </c>
      <c r="G17" s="9">
        <v>22075</v>
      </c>
      <c r="H17" s="9">
        <v>24302</v>
      </c>
    </row>
    <row r="18" spans="1:8" ht="12">
      <c r="A18" s="50" t="s">
        <v>22</v>
      </c>
      <c r="B18" s="9">
        <f aca="true" t="shared" si="2" ref="B18:H18">B17/12</f>
        <v>1965.75</v>
      </c>
      <c r="C18" s="9">
        <f t="shared" si="2"/>
        <v>2681.75</v>
      </c>
      <c r="D18" s="9">
        <f t="shared" si="2"/>
        <v>2547</v>
      </c>
      <c r="E18" s="9">
        <f t="shared" si="2"/>
        <v>2950.4166666666665</v>
      </c>
      <c r="F18" s="9">
        <f t="shared" si="2"/>
        <v>2867.1666666666665</v>
      </c>
      <c r="G18" s="9">
        <f t="shared" si="2"/>
        <v>1839.5833333333333</v>
      </c>
      <c r="H18" s="9">
        <f t="shared" si="2"/>
        <v>2025.1666666666667</v>
      </c>
    </row>
    <row r="19" spans="1:8" ht="12">
      <c r="A19" s="50" t="s">
        <v>23</v>
      </c>
      <c r="B19" s="11">
        <f>B17/4000</f>
        <v>5.89725</v>
      </c>
      <c r="C19" s="11">
        <f>C17/2000</f>
        <v>16.0905</v>
      </c>
      <c r="D19" s="11">
        <f>D17/2000</f>
        <v>15.282</v>
      </c>
      <c r="E19" s="11">
        <f>E17/4000</f>
        <v>8.85125</v>
      </c>
      <c r="F19" s="11">
        <f>F17/4000</f>
        <v>8.6015</v>
      </c>
      <c r="G19" s="11">
        <f>G17/2000</f>
        <v>11.0375</v>
      </c>
      <c r="H19" s="11">
        <f>H17/2000</f>
        <v>12.151</v>
      </c>
    </row>
    <row r="20" spans="1:8" ht="12">
      <c r="A20" s="50"/>
      <c r="B20" s="10"/>
      <c r="C20" s="10"/>
      <c r="D20" s="10"/>
      <c r="E20" s="10"/>
      <c r="F20" s="10"/>
      <c r="G20" s="10"/>
      <c r="H20" s="10"/>
    </row>
    <row r="21" spans="1:8" ht="12">
      <c r="A21" s="50" t="s">
        <v>24</v>
      </c>
      <c r="B21" s="35">
        <v>12649</v>
      </c>
      <c r="C21" s="35">
        <v>15219</v>
      </c>
      <c r="D21" s="35">
        <v>15219</v>
      </c>
      <c r="E21" s="35">
        <v>19157</v>
      </c>
      <c r="F21" s="35">
        <v>19157</v>
      </c>
      <c r="G21" s="35">
        <v>19157</v>
      </c>
      <c r="H21" s="35">
        <v>19157</v>
      </c>
    </row>
    <row r="22" spans="1:8" ht="12">
      <c r="A22" s="50" t="s">
        <v>25</v>
      </c>
      <c r="B22" s="36">
        <f aca="true" t="shared" si="3" ref="B22:H22">B17/B21</f>
        <v>1.864890505178275</v>
      </c>
      <c r="C22" s="36">
        <f t="shared" si="3"/>
        <v>2.114527892765622</v>
      </c>
      <c r="D22" s="36">
        <f t="shared" si="3"/>
        <v>2.008279124778238</v>
      </c>
      <c r="E22" s="36">
        <f t="shared" si="3"/>
        <v>1.8481495014877067</v>
      </c>
      <c r="F22" s="36">
        <f t="shared" si="3"/>
        <v>1.7960014616067235</v>
      </c>
      <c r="G22" s="36">
        <f t="shared" si="3"/>
        <v>1.152320300673383</v>
      </c>
      <c r="H22" s="36">
        <f t="shared" si="3"/>
        <v>1.268570235423083</v>
      </c>
    </row>
    <row r="24" ht="12">
      <c r="A24" s="4" t="s">
        <v>26</v>
      </c>
    </row>
    <row r="25" ht="12">
      <c r="A25" s="4" t="s">
        <v>27</v>
      </c>
    </row>
    <row r="28" ht="12.75">
      <c r="A28" s="65" t="s">
        <v>70</v>
      </c>
    </row>
  </sheetData>
  <mergeCells count="1">
    <mergeCell ref="A4:A6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31.421875" style="54" customWidth="1"/>
    <col min="2" max="2" width="20.140625" style="54" bestFit="1" customWidth="1"/>
    <col min="3" max="4" width="29.7109375" style="54" bestFit="1" customWidth="1"/>
    <col min="5" max="5" width="27.00390625" style="54" bestFit="1" customWidth="1"/>
    <col min="6" max="6" width="29.7109375" style="54" bestFit="1" customWidth="1"/>
    <col min="7" max="7" width="27.00390625" style="54" bestFit="1" customWidth="1"/>
    <col min="8" max="8" width="29.7109375" style="54" bestFit="1" customWidth="1"/>
    <col min="9" max="16384" width="9.140625" style="54" customWidth="1"/>
  </cols>
  <sheetData>
    <row r="1" ht="20.25">
      <c r="A1" s="53" t="s">
        <v>35</v>
      </c>
    </row>
    <row r="2" ht="12">
      <c r="A2" s="55" t="s">
        <v>1</v>
      </c>
    </row>
    <row r="3" ht="12">
      <c r="A3" s="55"/>
    </row>
    <row r="4" spans="1:8" s="56" customFormat="1" ht="12">
      <c r="A4" s="77" t="s">
        <v>2</v>
      </c>
      <c r="B4" s="46" t="s">
        <v>3</v>
      </c>
      <c r="C4" s="46" t="s">
        <v>4</v>
      </c>
      <c r="D4" s="46" t="s">
        <v>4</v>
      </c>
      <c r="E4" s="46" t="s">
        <v>5</v>
      </c>
      <c r="F4" s="46" t="s">
        <v>5</v>
      </c>
      <c r="G4" s="46" t="s">
        <v>6</v>
      </c>
      <c r="H4" s="46" t="s">
        <v>6</v>
      </c>
    </row>
    <row r="5" spans="1:8" s="56" customFormat="1" ht="12">
      <c r="A5" s="78"/>
      <c r="B5" s="48" t="s">
        <v>7</v>
      </c>
      <c r="C5" s="48" t="s">
        <v>8</v>
      </c>
      <c r="D5" s="48" t="s">
        <v>8</v>
      </c>
      <c r="E5" s="48" t="s">
        <v>7</v>
      </c>
      <c r="F5" s="48" t="s">
        <v>7</v>
      </c>
      <c r="G5" s="48" t="s">
        <v>7</v>
      </c>
      <c r="H5" s="48" t="s">
        <v>7</v>
      </c>
    </row>
    <row r="6" spans="1:8" s="56" customFormat="1" ht="12">
      <c r="A6" s="79"/>
      <c r="B6" s="49" t="s">
        <v>9</v>
      </c>
      <c r="C6" s="49" t="s">
        <v>10</v>
      </c>
      <c r="D6" s="49" t="s">
        <v>11</v>
      </c>
      <c r="E6" s="49" t="s">
        <v>10</v>
      </c>
      <c r="F6" s="49" t="s">
        <v>11</v>
      </c>
      <c r="G6" s="49" t="s">
        <v>10</v>
      </c>
      <c r="H6" s="49" t="s">
        <v>11</v>
      </c>
    </row>
    <row r="7" spans="1:8" ht="12">
      <c r="A7" s="51" t="s">
        <v>12</v>
      </c>
      <c r="B7" s="52">
        <f>382.9*(1-0.0775)</f>
        <v>353.22524999999996</v>
      </c>
      <c r="C7" s="52">
        <f>(185.7+95.8+105.2)*(1-0.0775)</f>
        <v>356.73075</v>
      </c>
      <c r="D7" s="52">
        <f>(185.7+141.6+159.1)*(1-0.0775)</f>
        <v>448.70399999999995</v>
      </c>
      <c r="E7" s="52">
        <f>549.1*(1-0.0775)</f>
        <v>506.54475</v>
      </c>
      <c r="F7" s="52">
        <f>648.8*(1-0.0775)</f>
        <v>598.5179999999999</v>
      </c>
      <c r="G7" s="52">
        <f>549.1*(1-0.0775)</f>
        <v>506.54475</v>
      </c>
      <c r="H7" s="52">
        <f>648.8*(1-0.0775)</f>
        <v>598.5179999999999</v>
      </c>
    </row>
    <row r="8" spans="1:8" ht="12">
      <c r="A8" s="51" t="s">
        <v>13</v>
      </c>
      <c r="B8" s="52">
        <v>464</v>
      </c>
      <c r="C8" s="52">
        <v>589</v>
      </c>
      <c r="D8" s="52">
        <v>589</v>
      </c>
      <c r="E8" s="52">
        <v>589</v>
      </c>
      <c r="F8" s="52">
        <v>589</v>
      </c>
      <c r="G8" s="52">
        <v>589</v>
      </c>
      <c r="H8" s="52">
        <v>589</v>
      </c>
    </row>
    <row r="9" spans="1:8" ht="12">
      <c r="A9" s="51" t="s">
        <v>14</v>
      </c>
      <c r="B9" s="52">
        <f>103+(80/12)</f>
        <v>109.66666666666667</v>
      </c>
      <c r="C9" s="52">
        <f>127+(180/12)</f>
        <v>142</v>
      </c>
      <c r="D9" s="52">
        <f>145+(180/12)</f>
        <v>160</v>
      </c>
      <c r="E9" s="52">
        <f>167+(220/12)</f>
        <v>185.33333333333334</v>
      </c>
      <c r="F9" s="52">
        <f>190+(220/12)</f>
        <v>208.33333333333334</v>
      </c>
      <c r="G9" s="52">
        <f>167+(220/12)</f>
        <v>185.33333333333334</v>
      </c>
      <c r="H9" s="52">
        <f>190+(220/12)</f>
        <v>208.33333333333334</v>
      </c>
    </row>
    <row r="10" spans="1:8" ht="12">
      <c r="A10" s="51" t="s">
        <v>15</v>
      </c>
      <c r="B10" s="52">
        <f>250+115+42</f>
        <v>407</v>
      </c>
      <c r="C10" s="52">
        <f>250+105+49</f>
        <v>404</v>
      </c>
      <c r="D10" s="52">
        <f>250+115+45</f>
        <v>410</v>
      </c>
      <c r="E10" s="52">
        <f>250+125+42</f>
        <v>417</v>
      </c>
      <c r="F10" s="52">
        <f>250+134+41</f>
        <v>425</v>
      </c>
      <c r="G10" s="52">
        <f>250+125+42</f>
        <v>417</v>
      </c>
      <c r="H10" s="52">
        <f>250+134+41</f>
        <v>425</v>
      </c>
    </row>
    <row r="11" spans="1:8" ht="12">
      <c r="A11" s="51" t="s">
        <v>16</v>
      </c>
      <c r="B11" s="52">
        <v>0</v>
      </c>
      <c r="C11" s="52">
        <f>89.5*1.9*4</f>
        <v>680.1999999999999</v>
      </c>
      <c r="D11" s="52">
        <f>82.5*1.9*4</f>
        <v>627</v>
      </c>
      <c r="E11" s="52">
        <f>89.5*1.9*4</f>
        <v>680.1999999999999</v>
      </c>
      <c r="F11" s="52">
        <f>82.5*1.9*4</f>
        <v>627</v>
      </c>
      <c r="G11" s="52">
        <v>0</v>
      </c>
      <c r="H11" s="52">
        <v>0</v>
      </c>
    </row>
    <row r="12" spans="1:8" ht="12">
      <c r="A12" s="51" t="s">
        <v>17</v>
      </c>
      <c r="B12" s="52">
        <f>65+47+(37+33+14+39)*1.06</f>
        <v>242.38</v>
      </c>
      <c r="C12" s="52">
        <f>65+47+(37+33+39+4+6)*1.06</f>
        <v>238.14</v>
      </c>
      <c r="D12" s="52">
        <f>65+47+(37+33+39+4+6)*1.06</f>
        <v>238.14</v>
      </c>
      <c r="E12" s="52">
        <f>65+47+(37+33+14+39+4+6)*1.06</f>
        <v>252.98000000000002</v>
      </c>
      <c r="F12" s="52">
        <f>65+47+(37+33+14+39+4+6)*1.06</f>
        <v>252.98000000000002</v>
      </c>
      <c r="G12" s="52">
        <f>65+47+(37+33+14+39+4+6)*1.06</f>
        <v>252.98000000000002</v>
      </c>
      <c r="H12" s="52">
        <f>65+47+(37+33+14+39+4+6)*1.06</f>
        <v>252.98000000000002</v>
      </c>
    </row>
    <row r="13" spans="1:8" ht="12">
      <c r="A13" s="51"/>
      <c r="B13" s="57"/>
      <c r="C13" s="57"/>
      <c r="D13" s="57"/>
      <c r="E13" s="57"/>
      <c r="F13" s="57"/>
      <c r="G13" s="57"/>
      <c r="H13" s="57"/>
    </row>
    <row r="14" spans="1:8" ht="12">
      <c r="A14" s="51" t="s">
        <v>18</v>
      </c>
      <c r="B14" s="52">
        <f aca="true" t="shared" si="0" ref="B14:H14">SUM(B7:B12)</f>
        <v>1576.2719166666666</v>
      </c>
      <c r="C14" s="52">
        <f t="shared" si="0"/>
        <v>2410.07075</v>
      </c>
      <c r="D14" s="52">
        <f t="shared" si="0"/>
        <v>2472.8439999999996</v>
      </c>
      <c r="E14" s="52">
        <f t="shared" si="0"/>
        <v>2631.0580833333333</v>
      </c>
      <c r="F14" s="52">
        <f t="shared" si="0"/>
        <v>2700.831333333333</v>
      </c>
      <c r="G14" s="52">
        <f t="shared" si="0"/>
        <v>1950.8580833333333</v>
      </c>
      <c r="H14" s="52">
        <f t="shared" si="0"/>
        <v>2073.8313333333335</v>
      </c>
    </row>
    <row r="15" spans="1:8" ht="12">
      <c r="A15" s="51" t="s">
        <v>19</v>
      </c>
      <c r="B15" s="52">
        <f aca="true" t="shared" si="1" ref="B15:H15">B14*12</f>
        <v>18915.263</v>
      </c>
      <c r="C15" s="52">
        <f t="shared" si="1"/>
        <v>28920.849</v>
      </c>
      <c r="D15" s="52">
        <f t="shared" si="1"/>
        <v>29674.127999999997</v>
      </c>
      <c r="E15" s="52">
        <f t="shared" si="1"/>
        <v>31572.697</v>
      </c>
      <c r="F15" s="52">
        <f t="shared" si="1"/>
        <v>32409.975999999995</v>
      </c>
      <c r="G15" s="52">
        <f t="shared" si="1"/>
        <v>23410.297</v>
      </c>
      <c r="H15" s="52">
        <f t="shared" si="1"/>
        <v>24885.976000000002</v>
      </c>
    </row>
    <row r="16" spans="1:8" ht="12">
      <c r="A16" s="51" t="s">
        <v>20</v>
      </c>
      <c r="B16" s="52">
        <v>3078.2963</v>
      </c>
      <c r="C16" s="52">
        <v>-157.5072</v>
      </c>
      <c r="D16" s="52">
        <v>238.55885000000023</v>
      </c>
      <c r="E16" s="52">
        <v>831.1008</v>
      </c>
      <c r="F16" s="52">
        <v>1265.4252</v>
      </c>
      <c r="G16" s="52">
        <v>-2695.1467999999995</v>
      </c>
      <c r="H16" s="52">
        <v>-2334.1646</v>
      </c>
    </row>
    <row r="17" spans="1:8" ht="12">
      <c r="A17" s="51" t="s">
        <v>21</v>
      </c>
      <c r="B17" s="52">
        <v>21994</v>
      </c>
      <c r="C17" s="52">
        <v>28764</v>
      </c>
      <c r="D17" s="52">
        <v>29913</v>
      </c>
      <c r="E17" s="52">
        <v>32404</v>
      </c>
      <c r="F17" s="52">
        <v>33676</v>
      </c>
      <c r="G17" s="52">
        <v>20716</v>
      </c>
      <c r="H17" s="52">
        <v>22552</v>
      </c>
    </row>
    <row r="18" spans="1:8" ht="12">
      <c r="A18" s="51" t="s">
        <v>22</v>
      </c>
      <c r="B18" s="52">
        <f aca="true" t="shared" si="2" ref="B18:H18">B17/12</f>
        <v>1832.8333333333333</v>
      </c>
      <c r="C18" s="52">
        <f t="shared" si="2"/>
        <v>2397</v>
      </c>
      <c r="D18" s="52">
        <f t="shared" si="2"/>
        <v>2492.75</v>
      </c>
      <c r="E18" s="52">
        <f t="shared" si="2"/>
        <v>2700.3333333333335</v>
      </c>
      <c r="F18" s="52">
        <f t="shared" si="2"/>
        <v>2806.3333333333335</v>
      </c>
      <c r="G18" s="52">
        <f t="shared" si="2"/>
        <v>1726.3333333333333</v>
      </c>
      <c r="H18" s="52">
        <f t="shared" si="2"/>
        <v>1879.3333333333333</v>
      </c>
    </row>
    <row r="19" spans="1:8" ht="12">
      <c r="A19" s="51" t="s">
        <v>23</v>
      </c>
      <c r="B19" s="58">
        <f>B17/4000</f>
        <v>5.4985</v>
      </c>
      <c r="C19" s="58">
        <f>C17/2000</f>
        <v>14.382</v>
      </c>
      <c r="D19" s="58">
        <f>D17/2000</f>
        <v>14.9565</v>
      </c>
      <c r="E19" s="58">
        <f>E17/4000</f>
        <v>8.101</v>
      </c>
      <c r="F19" s="58">
        <f>F17/4000</f>
        <v>8.419</v>
      </c>
      <c r="G19" s="58">
        <f>G17/2000</f>
        <v>10.358</v>
      </c>
      <c r="H19" s="58">
        <f>H17/2000</f>
        <v>11.276</v>
      </c>
    </row>
    <row r="20" spans="1:8" ht="12">
      <c r="A20" s="51"/>
      <c r="B20" s="57"/>
      <c r="C20" s="57"/>
      <c r="D20" s="57"/>
      <c r="E20" s="57"/>
      <c r="F20" s="57"/>
      <c r="G20" s="57"/>
      <c r="H20" s="57"/>
    </row>
    <row r="21" spans="1:8" ht="12">
      <c r="A21" s="59" t="s">
        <v>24</v>
      </c>
      <c r="B21" s="60">
        <v>12649</v>
      </c>
      <c r="C21" s="60">
        <v>15219</v>
      </c>
      <c r="D21" s="60">
        <v>15219</v>
      </c>
      <c r="E21" s="60">
        <v>19157</v>
      </c>
      <c r="F21" s="60">
        <v>19157</v>
      </c>
      <c r="G21" s="60">
        <v>19157</v>
      </c>
      <c r="H21" s="60">
        <v>19157</v>
      </c>
    </row>
    <row r="22" spans="1:8" ht="12">
      <c r="A22" s="59" t="s">
        <v>25</v>
      </c>
      <c r="B22" s="61">
        <f aca="true" t="shared" si="3" ref="B22:H22">B17/B21</f>
        <v>1.7387935805201993</v>
      </c>
      <c r="C22" s="61">
        <f t="shared" si="3"/>
        <v>1.8900059136605558</v>
      </c>
      <c r="D22" s="61">
        <f t="shared" si="3"/>
        <v>1.9655036467573428</v>
      </c>
      <c r="E22" s="61">
        <f t="shared" si="3"/>
        <v>1.6914965808842721</v>
      </c>
      <c r="F22" s="61">
        <f t="shared" si="3"/>
        <v>1.757895286318317</v>
      </c>
      <c r="G22" s="61">
        <f t="shared" si="3"/>
        <v>1.081380174348802</v>
      </c>
      <c r="H22" s="61">
        <f t="shared" si="3"/>
        <v>1.17721981521115</v>
      </c>
    </row>
    <row r="24" ht="12">
      <c r="A24" s="54" t="s">
        <v>26</v>
      </c>
    </row>
    <row r="25" ht="12">
      <c r="A25" s="54" t="s">
        <v>27</v>
      </c>
    </row>
    <row r="28" ht="12.75">
      <c r="A28" s="65" t="s">
        <v>70</v>
      </c>
    </row>
  </sheetData>
  <mergeCells count="1">
    <mergeCell ref="A4:A6"/>
  </mergeCells>
  <hyperlinks>
    <hyperlink ref="A28" location="Home!A1" display="Return Hom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GX270</dc:creator>
  <cp:keywords/>
  <dc:description/>
  <cp:lastModifiedBy>GX270</cp:lastModifiedBy>
  <cp:lastPrinted>2005-09-15T20:24:01Z</cp:lastPrinted>
  <dcterms:created xsi:type="dcterms:W3CDTF">2005-09-15T20:11:23Z</dcterms:created>
  <dcterms:modified xsi:type="dcterms:W3CDTF">2005-11-07T16:17:00Z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